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1" activeTab="5"/>
  </bookViews>
  <sheets>
    <sheet name="Гиперссылка " sheetId="16" r:id="rId1"/>
    <sheet name="Нормы" sheetId="1" r:id="rId2"/>
    <sheet name="День 1" sheetId="2" r:id="rId3"/>
    <sheet name="День 2" sheetId="4" r:id="rId4"/>
    <sheet name="День 3" sheetId="5" r:id="rId5"/>
    <sheet name="День 4" sheetId="6" r:id="rId6"/>
    <sheet name="День 5" sheetId="8" r:id="rId7"/>
    <sheet name="День 6" sheetId="9" r:id="rId8"/>
    <sheet name="День 7" sheetId="10" r:id="rId9"/>
    <sheet name="День 8" sheetId="11" r:id="rId10"/>
    <sheet name="День 9" sheetId="12" r:id="rId11"/>
    <sheet name="День 10" sheetId="13" r:id="rId12"/>
    <sheet name="День 11" sheetId="14" r:id="rId13"/>
    <sheet name="День 12" sheetId="15" r:id="rId14"/>
  </sheets>
  <calcPr calcId="144525"/>
</workbook>
</file>

<file path=xl/calcChain.xml><?xml version="1.0" encoding="utf-8"?>
<calcChain xmlns="http://schemas.openxmlformats.org/spreadsheetml/2006/main">
  <c r="E15" i="8" l="1"/>
  <c r="D15" i="8"/>
  <c r="F14" i="4"/>
  <c r="E14" i="4"/>
  <c r="D14" i="4"/>
  <c r="E12" i="8" l="1"/>
  <c r="J15" i="6" l="1"/>
  <c r="O14" i="15" l="1"/>
  <c r="N14" i="15"/>
  <c r="M14" i="15"/>
  <c r="L14" i="15"/>
  <c r="K14" i="15"/>
  <c r="I14" i="15"/>
  <c r="H14" i="15"/>
  <c r="F14" i="15"/>
  <c r="E14" i="15"/>
  <c r="D14" i="15"/>
  <c r="I13" i="13" l="1"/>
  <c r="I13" i="2"/>
  <c r="F14" i="9"/>
  <c r="E14" i="9"/>
  <c r="D14" i="9"/>
  <c r="F13" i="6"/>
  <c r="E13" i="6"/>
  <c r="D13" i="6"/>
  <c r="F15" i="15"/>
  <c r="E15" i="15"/>
  <c r="G13" i="5"/>
  <c r="G13" i="4"/>
  <c r="J10" i="9"/>
  <c r="I10" i="9"/>
  <c r="N17" i="1"/>
  <c r="N16" i="1"/>
  <c r="N15" i="1"/>
  <c r="N14" i="1"/>
  <c r="N13" i="1"/>
  <c r="N12" i="1"/>
  <c r="N11" i="1"/>
  <c r="N10" i="1"/>
  <c r="N9" i="1"/>
  <c r="N8" i="1"/>
  <c r="N7" i="1"/>
  <c r="N6" i="1"/>
  <c r="O6" i="13"/>
  <c r="M6" i="13"/>
  <c r="L6" i="13"/>
  <c r="D15" i="14"/>
  <c r="E15" i="14"/>
  <c r="F15" i="14"/>
  <c r="G15" i="14" s="1"/>
  <c r="H15" i="14"/>
  <c r="J15" i="14"/>
  <c r="K15" i="14"/>
  <c r="L15" i="14"/>
  <c r="M15" i="14"/>
  <c r="N15" i="14"/>
  <c r="O15" i="14"/>
  <c r="O15" i="10"/>
  <c r="N15" i="10"/>
  <c r="M15" i="10"/>
  <c r="L15" i="10"/>
  <c r="K15" i="10"/>
  <c r="J15" i="10"/>
  <c r="H15" i="10"/>
  <c r="F15" i="10"/>
  <c r="E15" i="10"/>
  <c r="D15" i="10"/>
  <c r="O13" i="12"/>
  <c r="N13" i="12"/>
  <c r="M13" i="12"/>
  <c r="L13" i="12"/>
  <c r="K13" i="12"/>
  <c r="J13" i="12"/>
  <c r="I13" i="12"/>
  <c r="F13" i="12"/>
  <c r="E13" i="12"/>
  <c r="D13" i="12"/>
  <c r="G13" i="15"/>
  <c r="G20" i="2"/>
  <c r="D6" i="10"/>
  <c r="E6" i="10"/>
  <c r="F6" i="10"/>
  <c r="H6" i="10"/>
  <c r="K6" i="10"/>
  <c r="L6" i="10"/>
  <c r="M6" i="10"/>
  <c r="N6" i="10"/>
  <c r="O6" i="10"/>
  <c r="O6" i="9"/>
  <c r="N6" i="9"/>
  <c r="M6" i="9"/>
  <c r="L6" i="9"/>
  <c r="K6" i="9"/>
  <c r="H6" i="9"/>
  <c r="F6" i="9"/>
  <c r="E6" i="9"/>
  <c r="D6" i="9"/>
  <c r="F6" i="13"/>
  <c r="D6" i="13"/>
  <c r="G18" i="9"/>
  <c r="G19" i="8"/>
  <c r="G25" i="8"/>
  <c r="G24" i="8"/>
  <c r="G18" i="8"/>
  <c r="O17" i="8"/>
  <c r="N17" i="8"/>
  <c r="M17" i="8"/>
  <c r="L17" i="8"/>
  <c r="K17" i="8"/>
  <c r="H17" i="8"/>
  <c r="F17" i="8"/>
  <c r="E17" i="8"/>
  <c r="D17" i="8"/>
  <c r="O16" i="8"/>
  <c r="N16" i="8"/>
  <c r="M16" i="8"/>
  <c r="L16" i="8"/>
  <c r="K16" i="8"/>
  <c r="H16" i="8"/>
  <c r="F16" i="8"/>
  <c r="E16" i="8"/>
  <c r="D16" i="8"/>
  <c r="O15" i="8"/>
  <c r="N15" i="8"/>
  <c r="M15" i="8"/>
  <c r="L15" i="8"/>
  <c r="K15" i="8"/>
  <c r="J15" i="8"/>
  <c r="H15" i="8"/>
  <c r="G15" i="8"/>
  <c r="O14" i="8"/>
  <c r="N14" i="8"/>
  <c r="M14" i="8"/>
  <c r="L14" i="8"/>
  <c r="K14" i="8"/>
  <c r="I14" i="8"/>
  <c r="H14" i="8"/>
  <c r="F14" i="8"/>
  <c r="E14" i="8"/>
  <c r="D14" i="8"/>
  <c r="O13" i="8"/>
  <c r="O20" i="8" s="1"/>
  <c r="N13" i="8"/>
  <c r="M13" i="8"/>
  <c r="M20" i="8" s="1"/>
  <c r="L13" i="8"/>
  <c r="K13" i="8"/>
  <c r="K20" i="8" s="1"/>
  <c r="J13" i="8"/>
  <c r="I13" i="8"/>
  <c r="I20" i="8" s="1"/>
  <c r="G13" i="8"/>
  <c r="E20" i="8"/>
  <c r="J10" i="8"/>
  <c r="I10" i="8"/>
  <c r="I22" i="8" s="1"/>
  <c r="G9" i="8"/>
  <c r="O8" i="8"/>
  <c r="N8" i="8"/>
  <c r="M8" i="8"/>
  <c r="L8" i="8"/>
  <c r="K8" i="8"/>
  <c r="H8" i="8"/>
  <c r="F8" i="8"/>
  <c r="E8" i="8"/>
  <c r="D8" i="8"/>
  <c r="G7" i="8"/>
  <c r="O6" i="8"/>
  <c r="O10" i="8" s="1"/>
  <c r="O22" i="8" s="1"/>
  <c r="N6" i="8"/>
  <c r="N10" i="8" s="1"/>
  <c r="M6" i="8"/>
  <c r="M10" i="8" s="1"/>
  <c r="M22" i="8" s="1"/>
  <c r="L6" i="8"/>
  <c r="L10" i="8" s="1"/>
  <c r="K6" i="8"/>
  <c r="K10" i="8" s="1"/>
  <c r="K22" i="8" s="1"/>
  <c r="H6" i="8"/>
  <c r="H10" i="8" s="1"/>
  <c r="F6" i="8"/>
  <c r="F10" i="8" s="1"/>
  <c r="E6" i="8"/>
  <c r="E10" i="8" s="1"/>
  <c r="D6" i="8"/>
  <c r="D10" i="8" s="1"/>
  <c r="G24" i="9"/>
  <c r="F23" i="9"/>
  <c r="E23" i="9"/>
  <c r="D23" i="9"/>
  <c r="J19" i="9"/>
  <c r="G17" i="9"/>
  <c r="O16" i="9"/>
  <c r="N16" i="9"/>
  <c r="M16" i="9"/>
  <c r="L16" i="9"/>
  <c r="K16" i="9"/>
  <c r="H16" i="9"/>
  <c r="F16" i="9"/>
  <c r="E16" i="9"/>
  <c r="D16" i="9"/>
  <c r="O15" i="9"/>
  <c r="N15" i="9"/>
  <c r="M15" i="9"/>
  <c r="L15" i="9"/>
  <c r="K15" i="9"/>
  <c r="H15" i="9"/>
  <c r="F15" i="9"/>
  <c r="E15" i="9"/>
  <c r="D15" i="9"/>
  <c r="O14" i="9"/>
  <c r="N14" i="9"/>
  <c r="M14" i="9"/>
  <c r="L14" i="9"/>
  <c r="K14" i="9"/>
  <c r="I14" i="9"/>
  <c r="H14" i="9"/>
  <c r="F13" i="9"/>
  <c r="E13" i="9"/>
  <c r="D13" i="9"/>
  <c r="O12" i="9"/>
  <c r="N12" i="9"/>
  <c r="M12" i="9"/>
  <c r="L12" i="9"/>
  <c r="K12" i="9"/>
  <c r="I12" i="9"/>
  <c r="H12" i="9"/>
  <c r="G12" i="9"/>
  <c r="G9" i="9"/>
  <c r="O8" i="9"/>
  <c r="N8" i="9"/>
  <c r="M8" i="9"/>
  <c r="L8" i="9"/>
  <c r="K8" i="9"/>
  <c r="H8" i="9"/>
  <c r="F8" i="9"/>
  <c r="E8" i="9"/>
  <c r="D8" i="9"/>
  <c r="G7" i="9"/>
  <c r="F13" i="14"/>
  <c r="E13" i="14"/>
  <c r="G13" i="14" s="1"/>
  <c r="D13" i="14"/>
  <c r="D15" i="15"/>
  <c r="O15" i="15"/>
  <c r="N15" i="15"/>
  <c r="M15" i="15"/>
  <c r="L15" i="15"/>
  <c r="K15" i="15"/>
  <c r="J15" i="15"/>
  <c r="I15" i="15"/>
  <c r="H15" i="15"/>
  <c r="F14" i="13"/>
  <c r="E14" i="13"/>
  <c r="D14" i="13"/>
  <c r="O14" i="13"/>
  <c r="N14" i="13"/>
  <c r="M14" i="13"/>
  <c r="L14" i="13"/>
  <c r="K14" i="13"/>
  <c r="H14" i="13"/>
  <c r="F16" i="13"/>
  <c r="E16" i="13"/>
  <c r="D16" i="13"/>
  <c r="F16" i="12"/>
  <c r="E16" i="12"/>
  <c r="D16" i="12"/>
  <c r="O13" i="13"/>
  <c r="N13" i="13"/>
  <c r="M13" i="13"/>
  <c r="L13" i="13"/>
  <c r="K13" i="13"/>
  <c r="J13" i="13"/>
  <c r="H13" i="13"/>
  <c r="G13" i="13"/>
  <c r="D14" i="12"/>
  <c r="E14" i="12"/>
  <c r="F14" i="12"/>
  <c r="H14" i="12"/>
  <c r="I14" i="12"/>
  <c r="K14" i="12"/>
  <c r="L14" i="12"/>
  <c r="M14" i="12"/>
  <c r="N14" i="12"/>
  <c r="O14" i="12"/>
  <c r="O26" i="6"/>
  <c r="M26" i="6"/>
  <c r="L26" i="6"/>
  <c r="G26" i="6"/>
  <c r="G25" i="6"/>
  <c r="G20" i="6"/>
  <c r="G19" i="6"/>
  <c r="O18" i="6"/>
  <c r="N18" i="6"/>
  <c r="M18" i="6"/>
  <c r="L18" i="6"/>
  <c r="K18" i="6"/>
  <c r="H18" i="6"/>
  <c r="F18" i="6"/>
  <c r="E18" i="6"/>
  <c r="D18" i="6"/>
  <c r="O17" i="6"/>
  <c r="N17" i="6"/>
  <c r="M17" i="6"/>
  <c r="L17" i="6"/>
  <c r="K17" i="6"/>
  <c r="H17" i="6"/>
  <c r="F17" i="6"/>
  <c r="E17" i="6"/>
  <c r="D17" i="6"/>
  <c r="F16" i="6"/>
  <c r="E16" i="6"/>
  <c r="D16" i="6"/>
  <c r="O15" i="6"/>
  <c r="N15" i="6"/>
  <c r="M15" i="6"/>
  <c r="L15" i="6"/>
  <c r="K15" i="6"/>
  <c r="I15" i="6"/>
  <c r="H15" i="6"/>
  <c r="F15" i="6"/>
  <c r="E15" i="6"/>
  <c r="D15" i="6"/>
  <c r="O14" i="6"/>
  <c r="N14" i="6"/>
  <c r="M14" i="6"/>
  <c r="L14" i="6"/>
  <c r="K14" i="6"/>
  <c r="J14" i="6"/>
  <c r="J21" i="6" s="1"/>
  <c r="I14" i="6"/>
  <c r="H14" i="6"/>
  <c r="F14" i="6"/>
  <c r="E14" i="6"/>
  <c r="D14" i="6"/>
  <c r="O12" i="6"/>
  <c r="N12" i="6"/>
  <c r="M12" i="6"/>
  <c r="L12" i="6"/>
  <c r="K12" i="6"/>
  <c r="I12" i="6"/>
  <c r="H12" i="6"/>
  <c r="H21" i="6" s="1"/>
  <c r="F12" i="6"/>
  <c r="E12" i="6"/>
  <c r="E21" i="6" s="1"/>
  <c r="D12" i="6"/>
  <c r="J10" i="6"/>
  <c r="J23" i="6" s="1"/>
  <c r="G9" i="6"/>
  <c r="O8" i="6"/>
  <c r="N8" i="6"/>
  <c r="M8" i="6"/>
  <c r="L8" i="6"/>
  <c r="K8" i="6"/>
  <c r="K10" i="6" s="1"/>
  <c r="H8" i="6"/>
  <c r="F8" i="6"/>
  <c r="E8" i="6"/>
  <c r="D8" i="6"/>
  <c r="G7" i="6"/>
  <c r="O6" i="6"/>
  <c r="O10" i="6" s="1"/>
  <c r="N6" i="6"/>
  <c r="N10" i="6" s="1"/>
  <c r="M6" i="6"/>
  <c r="M10" i="6" s="1"/>
  <c r="L6" i="6"/>
  <c r="L10" i="6" s="1"/>
  <c r="I6" i="6"/>
  <c r="I10" i="6" s="1"/>
  <c r="H6" i="6"/>
  <c r="H10" i="6" s="1"/>
  <c r="H23" i="6" s="1"/>
  <c r="F6" i="6"/>
  <c r="F10" i="6" s="1"/>
  <c r="E6" i="6"/>
  <c r="E10" i="6" s="1"/>
  <c r="E23" i="6" s="1"/>
  <c r="D6" i="6"/>
  <c r="D10" i="6" s="1"/>
  <c r="G25" i="5"/>
  <c r="O24" i="5"/>
  <c r="N24" i="5"/>
  <c r="M24" i="5"/>
  <c r="L24" i="5"/>
  <c r="K24" i="5"/>
  <c r="J24" i="5"/>
  <c r="H24" i="5"/>
  <c r="F24" i="5"/>
  <c r="E24" i="5"/>
  <c r="D24" i="5"/>
  <c r="J20" i="5"/>
  <c r="G19" i="5"/>
  <c r="O18" i="5"/>
  <c r="M18" i="5"/>
  <c r="L18" i="5"/>
  <c r="G18" i="5"/>
  <c r="O17" i="5"/>
  <c r="N17" i="5"/>
  <c r="M17" i="5"/>
  <c r="L17" i="5"/>
  <c r="K17" i="5"/>
  <c r="H17" i="5"/>
  <c r="F17" i="5"/>
  <c r="E17" i="5"/>
  <c r="D17" i="5"/>
  <c r="O16" i="5"/>
  <c r="N16" i="5"/>
  <c r="M16" i="5"/>
  <c r="L16" i="5"/>
  <c r="K16" i="5"/>
  <c r="H16" i="5"/>
  <c r="F16" i="5"/>
  <c r="E16" i="5"/>
  <c r="D16" i="5"/>
  <c r="O15" i="5"/>
  <c r="N15" i="5"/>
  <c r="M15" i="5"/>
  <c r="L15" i="5"/>
  <c r="K15" i="5"/>
  <c r="I15" i="5"/>
  <c r="I20" i="5" s="1"/>
  <c r="H15" i="5"/>
  <c r="F15" i="5"/>
  <c r="E15" i="5"/>
  <c r="D15" i="5"/>
  <c r="O14" i="5"/>
  <c r="N14" i="5"/>
  <c r="N20" i="5" s="1"/>
  <c r="M14" i="5"/>
  <c r="L14" i="5"/>
  <c r="L20" i="5" s="1"/>
  <c r="K14" i="5"/>
  <c r="H14" i="5"/>
  <c r="H20" i="5" s="1"/>
  <c r="F14" i="5"/>
  <c r="E14" i="5"/>
  <c r="E20" i="5" s="1"/>
  <c r="D14" i="5"/>
  <c r="G12" i="5"/>
  <c r="I10" i="5"/>
  <c r="G9" i="5"/>
  <c r="O8" i="5"/>
  <c r="N8" i="5"/>
  <c r="M8" i="5"/>
  <c r="L8" i="5"/>
  <c r="K8" i="5"/>
  <c r="H8" i="5"/>
  <c r="F8" i="5"/>
  <c r="E8" i="5"/>
  <c r="D8" i="5"/>
  <c r="G7" i="5"/>
  <c r="O6" i="5"/>
  <c r="O10" i="5" s="1"/>
  <c r="N6" i="5"/>
  <c r="N10" i="5" s="1"/>
  <c r="N22" i="5" s="1"/>
  <c r="M6" i="5"/>
  <c r="M10" i="5" s="1"/>
  <c r="L6" i="5"/>
  <c r="L10" i="5" s="1"/>
  <c r="L22" i="5" s="1"/>
  <c r="K6" i="5"/>
  <c r="K10" i="5" s="1"/>
  <c r="J6" i="5"/>
  <c r="J10" i="5" s="1"/>
  <c r="J22" i="5" s="1"/>
  <c r="H6" i="5"/>
  <c r="F6" i="5"/>
  <c r="E6" i="5"/>
  <c r="D6" i="5"/>
  <c r="G7" i="15"/>
  <c r="G7" i="14"/>
  <c r="G7" i="12"/>
  <c r="G7" i="11"/>
  <c r="O13" i="2"/>
  <c r="N13" i="2"/>
  <c r="M13" i="2"/>
  <c r="L13" i="2"/>
  <c r="K13" i="2"/>
  <c r="J13" i="2"/>
  <c r="H13" i="2"/>
  <c r="F13" i="2"/>
  <c r="E13" i="2"/>
  <c r="D13" i="2"/>
  <c r="O6" i="11"/>
  <c r="N6" i="11"/>
  <c r="M6" i="11"/>
  <c r="L6" i="11"/>
  <c r="K6" i="11"/>
  <c r="J6" i="11"/>
  <c r="I6" i="11"/>
  <c r="H6" i="11"/>
  <c r="F6" i="11"/>
  <c r="E6" i="11"/>
  <c r="D6" i="11"/>
  <c r="F14" i="2"/>
  <c r="E14" i="2"/>
  <c r="G14" i="2" s="1"/>
  <c r="D14" i="2"/>
  <c r="G19" i="15"/>
  <c r="G19" i="14"/>
  <c r="P17" i="1"/>
  <c r="P16" i="1"/>
  <c r="P15" i="1"/>
  <c r="P14" i="1"/>
  <c r="P13" i="1"/>
  <c r="P12" i="1"/>
  <c r="P11" i="1"/>
  <c r="P10" i="1"/>
  <c r="P9" i="1"/>
  <c r="P8" i="1"/>
  <c r="P7" i="1"/>
  <c r="P6" i="1"/>
  <c r="H18" i="15"/>
  <c r="H18" i="14"/>
  <c r="H18" i="13"/>
  <c r="H16" i="11"/>
  <c r="H18" i="10"/>
  <c r="H18" i="12"/>
  <c r="G9" i="10"/>
  <c r="O17" i="11"/>
  <c r="M17" i="11"/>
  <c r="L17" i="11"/>
  <c r="G17" i="11"/>
  <c r="G7" i="4"/>
  <c r="G7" i="2"/>
  <c r="O25" i="15"/>
  <c r="N25" i="15"/>
  <c r="M25" i="15"/>
  <c r="L25" i="15"/>
  <c r="K25" i="15"/>
  <c r="J25" i="15"/>
  <c r="H25" i="15"/>
  <c r="F25" i="15"/>
  <c r="E25" i="15"/>
  <c r="D25" i="15"/>
  <c r="G20" i="15"/>
  <c r="G12" i="15"/>
  <c r="F6" i="15"/>
  <c r="E6" i="15"/>
  <c r="D6" i="15"/>
  <c r="F25" i="14"/>
  <c r="E25" i="14"/>
  <c r="D25" i="14"/>
  <c r="O25" i="14"/>
  <c r="N25" i="14"/>
  <c r="M25" i="14"/>
  <c r="L25" i="14"/>
  <c r="K25" i="14"/>
  <c r="J25" i="14"/>
  <c r="H25" i="14"/>
  <c r="O14" i="14"/>
  <c r="N14" i="14"/>
  <c r="M14" i="14"/>
  <c r="L14" i="14"/>
  <c r="K14" i="14"/>
  <c r="H14" i="14"/>
  <c r="F14" i="14"/>
  <c r="E14" i="14"/>
  <c r="D14" i="14"/>
  <c r="O12" i="14"/>
  <c r="N12" i="14"/>
  <c r="M12" i="14"/>
  <c r="L12" i="14"/>
  <c r="K12" i="14"/>
  <c r="I12" i="14"/>
  <c r="H12" i="14"/>
  <c r="F12" i="14"/>
  <c r="E12" i="14"/>
  <c r="D12" i="14"/>
  <c r="G9" i="14"/>
  <c r="O6" i="14"/>
  <c r="N6" i="14"/>
  <c r="M6" i="14"/>
  <c r="L6" i="14"/>
  <c r="K6" i="14"/>
  <c r="H6" i="14"/>
  <c r="F6" i="14"/>
  <c r="E6" i="14"/>
  <c r="D6" i="14"/>
  <c r="F25" i="13"/>
  <c r="E25" i="13"/>
  <c r="D25" i="13"/>
  <c r="O12" i="13"/>
  <c r="N12" i="13"/>
  <c r="M12" i="13"/>
  <c r="L12" i="13"/>
  <c r="K12" i="13"/>
  <c r="J12" i="13"/>
  <c r="I12" i="13"/>
  <c r="G19" i="13"/>
  <c r="G20" i="13"/>
  <c r="D15" i="13"/>
  <c r="F15" i="13"/>
  <c r="E15" i="13"/>
  <c r="F12" i="13"/>
  <c r="D12" i="13"/>
  <c r="G9" i="13"/>
  <c r="J10" i="13"/>
  <c r="O25" i="12"/>
  <c r="N25" i="12"/>
  <c r="M25" i="12"/>
  <c r="L25" i="12"/>
  <c r="K25" i="12"/>
  <c r="J25" i="12"/>
  <c r="H25" i="12"/>
  <c r="F25" i="12"/>
  <c r="E25" i="12"/>
  <c r="D25" i="12"/>
  <c r="G19" i="12"/>
  <c r="G20" i="12"/>
  <c r="O15" i="12"/>
  <c r="N15" i="12"/>
  <c r="M15" i="12"/>
  <c r="L15" i="12"/>
  <c r="K15" i="12"/>
  <c r="J15" i="12"/>
  <c r="I15" i="12"/>
  <c r="H15" i="12"/>
  <c r="F15" i="12"/>
  <c r="E15" i="12"/>
  <c r="D15" i="12"/>
  <c r="G9" i="12"/>
  <c r="O6" i="12"/>
  <c r="N6" i="12"/>
  <c r="M6" i="12"/>
  <c r="L6" i="12"/>
  <c r="K6" i="12"/>
  <c r="H6" i="12"/>
  <c r="D6" i="12"/>
  <c r="F6" i="12"/>
  <c r="E6" i="12"/>
  <c r="H23" i="11"/>
  <c r="O23" i="11"/>
  <c r="N23" i="11"/>
  <c r="M23" i="11"/>
  <c r="L23" i="11"/>
  <c r="K23" i="11"/>
  <c r="J23" i="11"/>
  <c r="F23" i="11"/>
  <c r="E23" i="11"/>
  <c r="G18" i="11"/>
  <c r="G9" i="11"/>
  <c r="O14" i="11"/>
  <c r="N14" i="11"/>
  <c r="M14" i="11"/>
  <c r="L14" i="11"/>
  <c r="K14" i="11"/>
  <c r="J14" i="11"/>
  <c r="J19" i="11" s="1"/>
  <c r="I14" i="11"/>
  <c r="H14" i="11"/>
  <c r="G13" i="11"/>
  <c r="O12" i="11"/>
  <c r="N12" i="11"/>
  <c r="M12" i="11"/>
  <c r="L12" i="11"/>
  <c r="I12" i="11"/>
  <c r="H12" i="11"/>
  <c r="F12" i="11"/>
  <c r="E12" i="11"/>
  <c r="D12" i="11"/>
  <c r="G26" i="15"/>
  <c r="G25" i="15"/>
  <c r="O18" i="15"/>
  <c r="N18" i="15"/>
  <c r="M18" i="15"/>
  <c r="L18" i="15"/>
  <c r="K18" i="15"/>
  <c r="F18" i="15"/>
  <c r="E18" i="15"/>
  <c r="D18" i="15"/>
  <c r="O17" i="15"/>
  <c r="O21" i="15" s="1"/>
  <c r="N17" i="15"/>
  <c r="M17" i="15"/>
  <c r="M21" i="15" s="1"/>
  <c r="L17" i="15"/>
  <c r="K17" i="15"/>
  <c r="K21" i="15" s="1"/>
  <c r="H17" i="15"/>
  <c r="H21" i="15" s="1"/>
  <c r="F17" i="15"/>
  <c r="E17" i="15"/>
  <c r="D17" i="15"/>
  <c r="F16" i="15"/>
  <c r="E16" i="15"/>
  <c r="D16" i="15"/>
  <c r="D21" i="15" s="1"/>
  <c r="G15" i="15"/>
  <c r="J21" i="15"/>
  <c r="G14" i="15"/>
  <c r="N21" i="15"/>
  <c r="L21" i="15"/>
  <c r="I21" i="15"/>
  <c r="E21" i="15"/>
  <c r="J10" i="15"/>
  <c r="G9" i="15"/>
  <c r="O8" i="15"/>
  <c r="O10" i="15" s="1"/>
  <c r="N8" i="15"/>
  <c r="M8" i="15"/>
  <c r="M10" i="15" s="1"/>
  <c r="L8" i="15"/>
  <c r="L10" i="15" s="1"/>
  <c r="K8" i="15"/>
  <c r="K10" i="15" s="1"/>
  <c r="H8" i="15"/>
  <c r="H10" i="15" s="1"/>
  <c r="F8" i="15"/>
  <c r="E8" i="15"/>
  <c r="D8" i="15"/>
  <c r="D10" i="15" s="1"/>
  <c r="N10" i="15"/>
  <c r="I10" i="15"/>
  <c r="E10" i="15"/>
  <c r="G26" i="14"/>
  <c r="G20" i="14"/>
  <c r="O18" i="14"/>
  <c r="N18" i="14"/>
  <c r="M18" i="14"/>
  <c r="L18" i="14"/>
  <c r="K18" i="14"/>
  <c r="F18" i="14"/>
  <c r="E18" i="14"/>
  <c r="D18" i="14"/>
  <c r="O17" i="14"/>
  <c r="N17" i="14"/>
  <c r="M17" i="14"/>
  <c r="L17" i="14"/>
  <c r="K17" i="14"/>
  <c r="H17" i="14"/>
  <c r="F17" i="14"/>
  <c r="E17" i="14"/>
  <c r="D17" i="14"/>
  <c r="F16" i="14"/>
  <c r="E16" i="14"/>
  <c r="D16" i="14"/>
  <c r="J21" i="14"/>
  <c r="N21" i="14"/>
  <c r="L21" i="14"/>
  <c r="I21" i="14"/>
  <c r="E21" i="14"/>
  <c r="J10" i="14"/>
  <c r="O8" i="14"/>
  <c r="N8" i="14"/>
  <c r="M8" i="14"/>
  <c r="L8" i="14"/>
  <c r="L10" i="14" s="1"/>
  <c r="K8" i="14"/>
  <c r="H8" i="14"/>
  <c r="H10" i="14" s="1"/>
  <c r="F8" i="14"/>
  <c r="E8" i="14"/>
  <c r="D8" i="14"/>
  <c r="N10" i="14"/>
  <c r="I10" i="14"/>
  <c r="E10" i="14"/>
  <c r="G26" i="13"/>
  <c r="O18" i="13"/>
  <c r="N18" i="13"/>
  <c r="M18" i="13"/>
  <c r="L18" i="13"/>
  <c r="K18" i="13"/>
  <c r="F18" i="13"/>
  <c r="E18" i="13"/>
  <c r="E21" i="13" s="1"/>
  <c r="D18" i="13"/>
  <c r="O17" i="13"/>
  <c r="N17" i="13"/>
  <c r="M17" i="13"/>
  <c r="L17" i="13"/>
  <c r="K17" i="13"/>
  <c r="H17" i="13"/>
  <c r="F17" i="13"/>
  <c r="E17" i="13"/>
  <c r="D17" i="13"/>
  <c r="I21" i="13"/>
  <c r="H12" i="13"/>
  <c r="O8" i="13"/>
  <c r="N8" i="13"/>
  <c r="N10" i="13" s="1"/>
  <c r="M8" i="13"/>
  <c r="L8" i="13"/>
  <c r="L10" i="13" s="1"/>
  <c r="K8" i="13"/>
  <c r="K10" i="13" s="1"/>
  <c r="H8" i="13"/>
  <c r="H10" i="13" s="1"/>
  <c r="F8" i="13"/>
  <c r="E8" i="13"/>
  <c r="D8" i="13"/>
  <c r="D10" i="13" s="1"/>
  <c r="G7" i="13"/>
  <c r="O10" i="13"/>
  <c r="M10" i="13"/>
  <c r="I10" i="13"/>
  <c r="F10" i="13"/>
  <c r="O13" i="10"/>
  <c r="N13" i="10"/>
  <c r="M13" i="10"/>
  <c r="L13" i="10"/>
  <c r="K13" i="10"/>
  <c r="J13" i="10"/>
  <c r="I13" i="10"/>
  <c r="I21" i="10" s="1"/>
  <c r="H13" i="10"/>
  <c r="G26" i="12"/>
  <c r="O18" i="12"/>
  <c r="N18" i="12"/>
  <c r="M18" i="12"/>
  <c r="L18" i="12"/>
  <c r="K18" i="12"/>
  <c r="F18" i="12"/>
  <c r="E18" i="12"/>
  <c r="D18" i="12"/>
  <c r="O17" i="12"/>
  <c r="N17" i="12"/>
  <c r="M17" i="12"/>
  <c r="L17" i="12"/>
  <c r="K17" i="12"/>
  <c r="H17" i="12"/>
  <c r="F17" i="12"/>
  <c r="E17" i="12"/>
  <c r="D17" i="12"/>
  <c r="O12" i="12"/>
  <c r="N12" i="12"/>
  <c r="M12" i="12"/>
  <c r="L12" i="12"/>
  <c r="K12" i="12"/>
  <c r="I12" i="12"/>
  <c r="H12" i="12"/>
  <c r="F12" i="12"/>
  <c r="E12" i="12"/>
  <c r="D12" i="12"/>
  <c r="J10" i="12"/>
  <c r="O8" i="12"/>
  <c r="N8" i="12"/>
  <c r="M8" i="12"/>
  <c r="L8" i="12"/>
  <c r="L10" i="12" s="1"/>
  <c r="K8" i="12"/>
  <c r="H8" i="12"/>
  <c r="H10" i="12" s="1"/>
  <c r="F8" i="12"/>
  <c r="F10" i="12" s="1"/>
  <c r="E8" i="12"/>
  <c r="E10" i="12" s="1"/>
  <c r="D8" i="12"/>
  <c r="N10" i="12"/>
  <c r="I10" i="12"/>
  <c r="G19" i="10"/>
  <c r="O14" i="10"/>
  <c r="N14" i="10"/>
  <c r="M14" i="10"/>
  <c r="L14" i="10"/>
  <c r="K14" i="10"/>
  <c r="H14" i="10"/>
  <c r="F14" i="10"/>
  <c r="E14" i="10"/>
  <c r="D14" i="10"/>
  <c r="D12" i="10"/>
  <c r="F12" i="10"/>
  <c r="E12" i="10"/>
  <c r="G24" i="11"/>
  <c r="D23" i="11"/>
  <c r="O16" i="11"/>
  <c r="N16" i="11"/>
  <c r="M16" i="11"/>
  <c r="L16" i="11"/>
  <c r="K16" i="11"/>
  <c r="F16" i="11"/>
  <c r="E16" i="11"/>
  <c r="D16" i="11"/>
  <c r="O15" i="11"/>
  <c r="N15" i="11"/>
  <c r="M15" i="11"/>
  <c r="L15" i="11"/>
  <c r="K15" i="11"/>
  <c r="H15" i="11"/>
  <c r="F15" i="11"/>
  <c r="E15" i="11"/>
  <c r="D15" i="11"/>
  <c r="N19" i="11"/>
  <c r="G14" i="11"/>
  <c r="M19" i="11"/>
  <c r="K19" i="11"/>
  <c r="H19" i="11"/>
  <c r="J10" i="11"/>
  <c r="O8" i="11"/>
  <c r="N8" i="11"/>
  <c r="N10" i="11" s="1"/>
  <c r="M8" i="11"/>
  <c r="L8" i="11"/>
  <c r="L10" i="11" s="1"/>
  <c r="K8" i="11"/>
  <c r="H8" i="11"/>
  <c r="H10" i="11" s="1"/>
  <c r="H21" i="11" s="1"/>
  <c r="F8" i="11"/>
  <c r="E8" i="11"/>
  <c r="G8" i="11" s="1"/>
  <c r="D8" i="11"/>
  <c r="O10" i="11"/>
  <c r="M10" i="11"/>
  <c r="I10" i="11"/>
  <c r="F10" i="11"/>
  <c r="D10" i="11"/>
  <c r="G26" i="10"/>
  <c r="G20" i="10"/>
  <c r="O18" i="10"/>
  <c r="N18" i="10"/>
  <c r="M18" i="10"/>
  <c r="L18" i="10"/>
  <c r="K18" i="10"/>
  <c r="F18" i="10"/>
  <c r="E18" i="10"/>
  <c r="D18" i="10"/>
  <c r="O17" i="10"/>
  <c r="N17" i="10"/>
  <c r="M17" i="10"/>
  <c r="L17" i="10"/>
  <c r="K17" i="10"/>
  <c r="H17" i="10"/>
  <c r="F17" i="10"/>
  <c r="E17" i="10"/>
  <c r="D17" i="10"/>
  <c r="F16" i="10"/>
  <c r="E16" i="10"/>
  <c r="D16" i="10"/>
  <c r="J21" i="10"/>
  <c r="G13" i="10"/>
  <c r="K21" i="10"/>
  <c r="J10" i="10"/>
  <c r="O8" i="10"/>
  <c r="N8" i="10"/>
  <c r="M8" i="10"/>
  <c r="M10" i="10" s="1"/>
  <c r="L8" i="10"/>
  <c r="K8" i="10"/>
  <c r="K10" i="10" s="1"/>
  <c r="H8" i="10"/>
  <c r="F8" i="10"/>
  <c r="F10" i="10" s="1"/>
  <c r="E8" i="10"/>
  <c r="D8" i="10"/>
  <c r="D10" i="10" s="1"/>
  <c r="G7" i="10"/>
  <c r="I10" i="10"/>
  <c r="F16" i="2"/>
  <c r="E16" i="2"/>
  <c r="D16" i="2"/>
  <c r="O15" i="4"/>
  <c r="N15" i="4"/>
  <c r="M15" i="4"/>
  <c r="L15" i="4"/>
  <c r="K15" i="4"/>
  <c r="J15" i="4"/>
  <c r="H15" i="4"/>
  <c r="I15" i="4"/>
  <c r="J25" i="4"/>
  <c r="O25" i="4"/>
  <c r="N25" i="4"/>
  <c r="M25" i="4"/>
  <c r="L25" i="4"/>
  <c r="K25" i="4"/>
  <c r="H25" i="4"/>
  <c r="H18" i="4"/>
  <c r="G26" i="2"/>
  <c r="O8" i="4"/>
  <c r="N8" i="4"/>
  <c r="M8" i="4"/>
  <c r="L8" i="4"/>
  <c r="K8" i="4"/>
  <c r="H8" i="4"/>
  <c r="F8" i="4"/>
  <c r="E8" i="4"/>
  <c r="D8" i="4"/>
  <c r="O8" i="2"/>
  <c r="N8" i="2"/>
  <c r="L8" i="2"/>
  <c r="K8" i="2"/>
  <c r="F8" i="2"/>
  <c r="E8" i="2"/>
  <c r="D8" i="2"/>
  <c r="F25" i="4"/>
  <c r="E25" i="4"/>
  <c r="D25" i="4"/>
  <c r="G9" i="2"/>
  <c r="F16" i="4"/>
  <c r="E16" i="4"/>
  <c r="D16" i="4"/>
  <c r="F15" i="4"/>
  <c r="E15" i="4"/>
  <c r="O14" i="4"/>
  <c r="N14" i="4"/>
  <c r="M14" i="4"/>
  <c r="N17" i="4"/>
  <c r="L14" i="4"/>
  <c r="K14" i="4"/>
  <c r="H14" i="4"/>
  <c r="O12" i="4"/>
  <c r="N12" i="4"/>
  <c r="M12" i="4"/>
  <c r="L12" i="4"/>
  <c r="I12" i="4"/>
  <c r="H12" i="4"/>
  <c r="F12" i="4"/>
  <c r="E12" i="4"/>
  <c r="G12" i="4" s="1"/>
  <c r="D12" i="4"/>
  <c r="G9" i="4"/>
  <c r="O6" i="4"/>
  <c r="N6" i="4"/>
  <c r="N10" i="4" s="1"/>
  <c r="M6" i="4"/>
  <c r="L6" i="4"/>
  <c r="K6" i="4"/>
  <c r="H6" i="4"/>
  <c r="F6" i="4"/>
  <c r="E6" i="4"/>
  <c r="D6" i="4"/>
  <c r="H18" i="2"/>
  <c r="G26" i="4"/>
  <c r="G20" i="4"/>
  <c r="G19" i="4"/>
  <c r="O18" i="4"/>
  <c r="N18" i="4"/>
  <c r="M18" i="4"/>
  <c r="L18" i="4"/>
  <c r="K18" i="4"/>
  <c r="F18" i="4"/>
  <c r="E18" i="4"/>
  <c r="D18" i="4"/>
  <c r="O17" i="4"/>
  <c r="M17" i="4"/>
  <c r="L17" i="4"/>
  <c r="K17" i="4"/>
  <c r="H17" i="4"/>
  <c r="F17" i="4"/>
  <c r="E17" i="4"/>
  <c r="D17" i="4"/>
  <c r="D15" i="4"/>
  <c r="J21" i="4"/>
  <c r="G14" i="4"/>
  <c r="I10" i="4"/>
  <c r="J10" i="4"/>
  <c r="J21" i="2"/>
  <c r="G25" i="2"/>
  <c r="G19" i="2"/>
  <c r="M18" i="2"/>
  <c r="O18" i="2"/>
  <c r="N18" i="2"/>
  <c r="L18" i="2"/>
  <c r="K18" i="2"/>
  <c r="O17" i="2"/>
  <c r="N17" i="2"/>
  <c r="M17" i="2"/>
  <c r="L17" i="2"/>
  <c r="K17" i="2"/>
  <c r="H17" i="2"/>
  <c r="F18" i="2"/>
  <c r="E18" i="2"/>
  <c r="D18" i="2"/>
  <c r="F17" i="2"/>
  <c r="E17" i="2"/>
  <c r="D17" i="2"/>
  <c r="G12" i="2"/>
  <c r="O15" i="2"/>
  <c r="N15" i="2"/>
  <c r="M15" i="2"/>
  <c r="L15" i="2"/>
  <c r="K15" i="2"/>
  <c r="H15" i="2"/>
  <c r="F15" i="2"/>
  <c r="E15" i="2"/>
  <c r="D15" i="2"/>
  <c r="O14" i="2"/>
  <c r="N14" i="2"/>
  <c r="M14" i="2"/>
  <c r="L14" i="2"/>
  <c r="K14" i="2"/>
  <c r="I14" i="2"/>
  <c r="I21" i="2" s="1"/>
  <c r="H14" i="2"/>
  <c r="O6" i="2"/>
  <c r="N6" i="2"/>
  <c r="M6" i="2"/>
  <c r="L6" i="2"/>
  <c r="K6" i="2"/>
  <c r="J6" i="2"/>
  <c r="J10" i="2" s="1"/>
  <c r="I6" i="2"/>
  <c r="I10" i="2" s="1"/>
  <c r="H6" i="2"/>
  <c r="M8" i="2"/>
  <c r="H8" i="2"/>
  <c r="K10" i="2"/>
  <c r="F6" i="2"/>
  <c r="F10" i="2" s="1"/>
  <c r="E6" i="2"/>
  <c r="D6" i="2"/>
  <c r="D10" i="2" s="1"/>
  <c r="O21" i="10" l="1"/>
  <c r="D21" i="14"/>
  <c r="F21" i="14"/>
  <c r="K21" i="14"/>
  <c r="M21" i="14"/>
  <c r="G6" i="15"/>
  <c r="G6" i="9"/>
  <c r="H10" i="9"/>
  <c r="L10" i="9"/>
  <c r="N10" i="9"/>
  <c r="G13" i="6"/>
  <c r="G14" i="10"/>
  <c r="D19" i="11"/>
  <c r="O19" i="11"/>
  <c r="D10" i="9"/>
  <c r="F10" i="9"/>
  <c r="K10" i="9"/>
  <c r="M10" i="9"/>
  <c r="O10" i="9"/>
  <c r="N10" i="10"/>
  <c r="E10" i="10"/>
  <c r="D10" i="14"/>
  <c r="K10" i="14"/>
  <c r="M10" i="14"/>
  <c r="O10" i="14"/>
  <c r="G6" i="14"/>
  <c r="O21" i="14"/>
  <c r="G14" i="14"/>
  <c r="J21" i="13"/>
  <c r="G16" i="13"/>
  <c r="I21" i="12"/>
  <c r="J21" i="12"/>
  <c r="G13" i="12"/>
  <c r="F19" i="11"/>
  <c r="F21" i="11" s="1"/>
  <c r="L19" i="11"/>
  <c r="E10" i="11"/>
  <c r="K10" i="11"/>
  <c r="G16" i="11"/>
  <c r="E21" i="10"/>
  <c r="E10" i="9"/>
  <c r="G8" i="8"/>
  <c r="G14" i="8"/>
  <c r="G17" i="8"/>
  <c r="L20" i="8"/>
  <c r="L22" i="8" s="1"/>
  <c r="N20" i="8"/>
  <c r="N22" i="8" s="1"/>
  <c r="J20" i="8"/>
  <c r="J22" i="8" s="1"/>
  <c r="D20" i="8"/>
  <c r="D22" i="8" s="1"/>
  <c r="G16" i="8"/>
  <c r="G14" i="6"/>
  <c r="G17" i="6"/>
  <c r="G8" i="6"/>
  <c r="D21" i="6"/>
  <c r="D23" i="6" s="1"/>
  <c r="F21" i="6"/>
  <c r="F23" i="6" s="1"/>
  <c r="I21" i="6"/>
  <c r="I23" i="6" s="1"/>
  <c r="L21" i="6"/>
  <c r="N21" i="6"/>
  <c r="G16" i="6"/>
  <c r="G18" i="6"/>
  <c r="E10" i="5"/>
  <c r="M10" i="2"/>
  <c r="L10" i="2"/>
  <c r="D21" i="2"/>
  <c r="G13" i="2"/>
  <c r="E22" i="8"/>
  <c r="H20" i="8"/>
  <c r="K23" i="10"/>
  <c r="I19" i="11"/>
  <c r="L21" i="4"/>
  <c r="D10" i="4"/>
  <c r="M10" i="4"/>
  <c r="J23" i="4"/>
  <c r="E22" i="5"/>
  <c r="I22" i="5"/>
  <c r="K21" i="6"/>
  <c r="K23" i="6" s="1"/>
  <c r="M21" i="6"/>
  <c r="O21" i="6"/>
  <c r="O23" i="6" s="1"/>
  <c r="G15" i="6"/>
  <c r="G17" i="10"/>
  <c r="G6" i="10"/>
  <c r="G8" i="10"/>
  <c r="G16" i="10"/>
  <c r="G18" i="10"/>
  <c r="L10" i="10"/>
  <c r="H10" i="10"/>
  <c r="G15" i="10"/>
  <c r="G8" i="14"/>
  <c r="G16" i="14"/>
  <c r="G18" i="14"/>
  <c r="F10" i="14"/>
  <c r="G17" i="14"/>
  <c r="G8" i="15"/>
  <c r="G10" i="15" s="1"/>
  <c r="G17" i="15"/>
  <c r="F10" i="15"/>
  <c r="F21" i="15"/>
  <c r="G16" i="15"/>
  <c r="G18" i="15"/>
  <c r="I19" i="9"/>
  <c r="I21" i="9" s="1"/>
  <c r="L19" i="9"/>
  <c r="N19" i="9"/>
  <c r="D19" i="9"/>
  <c r="D21" i="9" s="1"/>
  <c r="F19" i="9"/>
  <c r="F21" i="9" s="1"/>
  <c r="G14" i="9"/>
  <c r="J21" i="9"/>
  <c r="H22" i="8"/>
  <c r="G8" i="9"/>
  <c r="G10" i="9" s="1"/>
  <c r="G16" i="9"/>
  <c r="G23" i="9"/>
  <c r="L21" i="9"/>
  <c r="N21" i="9"/>
  <c r="H19" i="9"/>
  <c r="H21" i="9" s="1"/>
  <c r="K19" i="9"/>
  <c r="M19" i="9"/>
  <c r="O19" i="9"/>
  <c r="E19" i="9"/>
  <c r="E21" i="9" s="1"/>
  <c r="G15" i="9"/>
  <c r="G6" i="8"/>
  <c r="G10" i="8" s="1"/>
  <c r="G12" i="8"/>
  <c r="G20" i="8" s="1"/>
  <c r="F20" i="8"/>
  <c r="F22" i="8" s="1"/>
  <c r="K21" i="9"/>
  <c r="M21" i="9"/>
  <c r="O21" i="9"/>
  <c r="G13" i="9"/>
  <c r="G19" i="9" s="1"/>
  <c r="G14" i="12"/>
  <c r="G16" i="12"/>
  <c r="D23" i="15"/>
  <c r="M23" i="15"/>
  <c r="O23" i="15"/>
  <c r="E23" i="15"/>
  <c r="H21" i="14"/>
  <c r="H23" i="14" s="1"/>
  <c r="G14" i="13"/>
  <c r="I23" i="13"/>
  <c r="D21" i="12"/>
  <c r="F21" i="12"/>
  <c r="F23" i="12" s="1"/>
  <c r="N21" i="12"/>
  <c r="D10" i="12"/>
  <c r="K10" i="12"/>
  <c r="M10" i="12"/>
  <c r="O10" i="12"/>
  <c r="G15" i="12"/>
  <c r="L21" i="13"/>
  <c r="M23" i="6"/>
  <c r="D10" i="5"/>
  <c r="F10" i="5"/>
  <c r="H10" i="5"/>
  <c r="H22" i="5" s="1"/>
  <c r="G8" i="5"/>
  <c r="D20" i="5"/>
  <c r="F20" i="5"/>
  <c r="K20" i="5"/>
  <c r="K22" i="5" s="1"/>
  <c r="M20" i="5"/>
  <c r="M22" i="5" s="1"/>
  <c r="O20" i="5"/>
  <c r="O22" i="5" s="1"/>
  <c r="G15" i="5"/>
  <c r="G17" i="5"/>
  <c r="G24" i="5"/>
  <c r="D22" i="5"/>
  <c r="F22" i="5"/>
  <c r="G16" i="5"/>
  <c r="L23" i="6"/>
  <c r="N23" i="6"/>
  <c r="G6" i="6"/>
  <c r="G10" i="6" s="1"/>
  <c r="G12" i="6"/>
  <c r="G14" i="5"/>
  <c r="G6" i="5"/>
  <c r="I21" i="4"/>
  <c r="I23" i="4" s="1"/>
  <c r="N21" i="4"/>
  <c r="N23" i="4" s="1"/>
  <c r="F10" i="4"/>
  <c r="E10" i="2"/>
  <c r="N10" i="2"/>
  <c r="E21" i="2"/>
  <c r="G16" i="2"/>
  <c r="G8" i="4"/>
  <c r="D21" i="4"/>
  <c r="E21" i="4"/>
  <c r="H21" i="4"/>
  <c r="L10" i="4"/>
  <c r="L23" i="4" s="1"/>
  <c r="E10" i="4"/>
  <c r="K21" i="4"/>
  <c r="M21" i="4"/>
  <c r="H10" i="4"/>
  <c r="G16" i="4"/>
  <c r="G17" i="4"/>
  <c r="G18" i="4"/>
  <c r="K10" i="4"/>
  <c r="K23" i="4" s="1"/>
  <c r="O10" i="4"/>
  <c r="O23" i="4" s="1"/>
  <c r="O21" i="4"/>
  <c r="I23" i="2"/>
  <c r="F21" i="2"/>
  <c r="G17" i="2"/>
  <c r="H10" i="2"/>
  <c r="G18" i="2"/>
  <c r="M23" i="14"/>
  <c r="K23" i="14"/>
  <c r="K23" i="15"/>
  <c r="I23" i="15"/>
  <c r="H23" i="15"/>
  <c r="J23" i="15"/>
  <c r="G25" i="14"/>
  <c r="D23" i="14"/>
  <c r="O23" i="14"/>
  <c r="J23" i="14"/>
  <c r="I23" i="14"/>
  <c r="F23" i="14"/>
  <c r="E23" i="14"/>
  <c r="N21" i="13"/>
  <c r="N23" i="13" s="1"/>
  <c r="G17" i="13"/>
  <c r="G25" i="13"/>
  <c r="G8" i="13"/>
  <c r="G15" i="13"/>
  <c r="G18" i="13"/>
  <c r="E10" i="13"/>
  <c r="E23" i="13" s="1"/>
  <c r="L23" i="13"/>
  <c r="K21" i="13"/>
  <c r="K23" i="13" s="1"/>
  <c r="M21" i="13"/>
  <c r="M23" i="13" s="1"/>
  <c r="O21" i="13"/>
  <c r="D21" i="13"/>
  <c r="D23" i="13" s="1"/>
  <c r="H21" i="13"/>
  <c r="H23" i="13" s="1"/>
  <c r="G6" i="13"/>
  <c r="J23" i="13"/>
  <c r="G10" i="13"/>
  <c r="L21" i="12"/>
  <c r="L23" i="12" s="1"/>
  <c r="J23" i="12"/>
  <c r="G17" i="12"/>
  <c r="G25" i="12"/>
  <c r="G8" i="12"/>
  <c r="E21" i="12"/>
  <c r="E23" i="12" s="1"/>
  <c r="H21" i="12"/>
  <c r="K21" i="12"/>
  <c r="K23" i="12" s="1"/>
  <c r="M21" i="12"/>
  <c r="O21" i="12"/>
  <c r="O23" i="12" s="1"/>
  <c r="G18" i="12"/>
  <c r="I23" i="12"/>
  <c r="H23" i="12"/>
  <c r="D23" i="12"/>
  <c r="G23" i="11"/>
  <c r="D21" i="11"/>
  <c r="I21" i="11"/>
  <c r="M21" i="11"/>
  <c r="O21" i="11"/>
  <c r="J21" i="11"/>
  <c r="G15" i="11"/>
  <c r="E19" i="11"/>
  <c r="G12" i="11"/>
  <c r="L21" i="11"/>
  <c r="N21" i="11"/>
  <c r="K21" i="11"/>
  <c r="L23" i="15"/>
  <c r="N23" i="15"/>
  <c r="G21" i="15"/>
  <c r="L23" i="14"/>
  <c r="N23" i="14"/>
  <c r="G10" i="14"/>
  <c r="G12" i="14"/>
  <c r="G21" i="14" s="1"/>
  <c r="O23" i="13"/>
  <c r="G12" i="13"/>
  <c r="F21" i="13"/>
  <c r="F23" i="13" s="1"/>
  <c r="L21" i="10"/>
  <c r="L23" i="10" s="1"/>
  <c r="N23" i="12"/>
  <c r="G6" i="12"/>
  <c r="G10" i="12" s="1"/>
  <c r="G12" i="12"/>
  <c r="G25" i="10"/>
  <c r="M21" i="10"/>
  <c r="M23" i="10" s="1"/>
  <c r="N21" i="10"/>
  <c r="N23" i="10" s="1"/>
  <c r="I23" i="10"/>
  <c r="E23" i="10"/>
  <c r="D21" i="10"/>
  <c r="D23" i="10" s="1"/>
  <c r="H21" i="10"/>
  <c r="H23" i="10" s="1"/>
  <c r="J23" i="10"/>
  <c r="O10" i="10"/>
  <c r="O23" i="10" s="1"/>
  <c r="G6" i="11"/>
  <c r="G10" i="11" s="1"/>
  <c r="G19" i="11"/>
  <c r="G10" i="10"/>
  <c r="G12" i="10"/>
  <c r="G21" i="10" s="1"/>
  <c r="F21" i="10"/>
  <c r="F23" i="10" s="1"/>
  <c r="L21" i="2"/>
  <c r="L23" i="2" s="1"/>
  <c r="N21" i="2"/>
  <c r="N23" i="2" s="1"/>
  <c r="O10" i="2"/>
  <c r="K21" i="2"/>
  <c r="K23" i="2" s="1"/>
  <c r="M21" i="2"/>
  <c r="M23" i="2" s="1"/>
  <c r="O21" i="2"/>
  <c r="J23" i="2"/>
  <c r="G8" i="2"/>
  <c r="G25" i="4"/>
  <c r="E23" i="2"/>
  <c r="H21" i="2"/>
  <c r="H23" i="2" s="1"/>
  <c r="G15" i="2"/>
  <c r="G21" i="2" s="1"/>
  <c r="F23" i="2"/>
  <c r="D23" i="2"/>
  <c r="G15" i="4"/>
  <c r="F21" i="4"/>
  <c r="F23" i="4" s="1"/>
  <c r="G6" i="4"/>
  <c r="G6" i="2"/>
  <c r="D23" i="4" l="1"/>
  <c r="G21" i="13"/>
  <c r="E21" i="11"/>
  <c r="G20" i="5"/>
  <c r="H23" i="4"/>
  <c r="M23" i="4"/>
  <c r="E23" i="4"/>
  <c r="F23" i="15"/>
  <c r="G21" i="6"/>
  <c r="G23" i="6" s="1"/>
  <c r="G22" i="8"/>
  <c r="G21" i="9"/>
  <c r="M23" i="12"/>
  <c r="G10" i="5"/>
  <c r="G22" i="5" s="1"/>
  <c r="G10" i="4"/>
  <c r="G21" i="4"/>
  <c r="O23" i="2"/>
  <c r="G21" i="12"/>
  <c r="G23" i="12" s="1"/>
  <c r="G23" i="15"/>
  <c r="G23" i="14"/>
  <c r="G23" i="13"/>
  <c r="G23" i="10"/>
  <c r="G21" i="11"/>
  <c r="G10" i="2"/>
  <c r="G23" i="2" s="1"/>
  <c r="G23" i="4" l="1"/>
</calcChain>
</file>

<file path=xl/sharedStrings.xml><?xml version="1.0" encoding="utf-8"?>
<sst xmlns="http://schemas.openxmlformats.org/spreadsheetml/2006/main" count="803" uniqueCount="306">
  <si>
    <t>№ рец.</t>
  </si>
  <si>
    <t>Наименование блюда</t>
  </si>
  <si>
    <t>Масса порции</t>
  </si>
  <si>
    <t>Белки</t>
  </si>
  <si>
    <t>Жиры</t>
  </si>
  <si>
    <t>Углеводы</t>
  </si>
  <si>
    <t>Пищевые вещества (г)</t>
  </si>
  <si>
    <t>Энергет. ценности</t>
  </si>
  <si>
    <t>Витамины (мг)</t>
  </si>
  <si>
    <t>Минеральные вещества (мг)</t>
  </si>
  <si>
    <t>В1</t>
  </si>
  <si>
    <t>С</t>
  </si>
  <si>
    <t>А</t>
  </si>
  <si>
    <t>Е</t>
  </si>
  <si>
    <t>Са</t>
  </si>
  <si>
    <t>Р</t>
  </si>
  <si>
    <t>Мg</t>
  </si>
  <si>
    <t>Fe</t>
  </si>
  <si>
    <t>119/2008г</t>
  </si>
  <si>
    <t>Хлеб пшеничный</t>
  </si>
  <si>
    <t xml:space="preserve"> </t>
  </si>
  <si>
    <t>Жиры, гр</t>
  </si>
  <si>
    <t>Белки,гр</t>
  </si>
  <si>
    <t>Углеводы,гр</t>
  </si>
  <si>
    <t>Калорийность, ккал</t>
  </si>
  <si>
    <t>Mg</t>
  </si>
  <si>
    <t>ЗАВТРАК</t>
  </si>
  <si>
    <t>ОБЕД</t>
  </si>
  <si>
    <t>39/2008г</t>
  </si>
  <si>
    <t>Борщ с капустой и картофелем</t>
  </si>
  <si>
    <t>Картофельное пюре</t>
  </si>
  <si>
    <t>92/2008г</t>
  </si>
  <si>
    <t>Котлета  "Детская"</t>
  </si>
  <si>
    <t>75/2008г</t>
  </si>
  <si>
    <t>Салат из свежей капусты</t>
  </si>
  <si>
    <t>13/2008г</t>
  </si>
  <si>
    <t>Хлеб ржано-пшеничный</t>
  </si>
  <si>
    <t>Компот из сухофруктов</t>
  </si>
  <si>
    <t>Фрукт свежий (яблоко)</t>
  </si>
  <si>
    <t>ГПД</t>
  </si>
  <si>
    <t>Коржик молочный</t>
  </si>
  <si>
    <t>182/2008г</t>
  </si>
  <si>
    <t>суп</t>
  </si>
  <si>
    <t>день</t>
  </si>
  <si>
    <t>рыба</t>
  </si>
  <si>
    <t>кура</t>
  </si>
  <si>
    <t>гарнир</t>
  </si>
  <si>
    <t>сал+ нар</t>
  </si>
  <si>
    <t>фрукт</t>
  </si>
  <si>
    <t>напиток</t>
  </si>
  <si>
    <t>дружба</t>
  </si>
  <si>
    <t>борщ</t>
  </si>
  <si>
    <t>детская</t>
  </si>
  <si>
    <t>яблоко</t>
  </si>
  <si>
    <t>с капустой</t>
  </si>
  <si>
    <t>Кофейный напиток с молоком</t>
  </si>
  <si>
    <t>148/2008г</t>
  </si>
  <si>
    <t>ИТОГО ЗА ДЕНЬ:</t>
  </si>
  <si>
    <t>ИТОГО ЗА ЗАВТРАК:</t>
  </si>
  <si>
    <t>ИТОГО ЗА ОБЕД:</t>
  </si>
  <si>
    <t>125/2008г</t>
  </si>
  <si>
    <t>манная</t>
  </si>
  <si>
    <t>Огурцы свежие порционно</t>
  </si>
  <si>
    <t>Суп картофельный с бобовыми</t>
  </si>
  <si>
    <t>47/2008г</t>
  </si>
  <si>
    <t>гороховый</t>
  </si>
  <si>
    <t>103/2013г</t>
  </si>
  <si>
    <t>Фрикадельки "Петушок"</t>
  </si>
  <si>
    <t>Соус томатный</t>
  </si>
  <si>
    <t>Завтрак 20-25%</t>
  </si>
  <si>
    <t>Обед 30-35%</t>
  </si>
  <si>
    <t>Чай с лимоном</t>
  </si>
  <si>
    <t>146/2008г</t>
  </si>
  <si>
    <t>Фрукт свежий (банан)</t>
  </si>
  <si>
    <t>Какао с молоком</t>
  </si>
  <si>
    <t xml:space="preserve"> Чай с сахаром</t>
  </si>
  <si>
    <t>Булочка ванильная</t>
  </si>
  <si>
    <t>291/2013г</t>
  </si>
  <si>
    <t>фрикадельки</t>
  </si>
  <si>
    <t>греча</t>
  </si>
  <si>
    <t>банан</t>
  </si>
  <si>
    <t>чай с лим</t>
  </si>
  <si>
    <t>нар. огурцы</t>
  </si>
  <si>
    <t>Батон нарезной</t>
  </si>
  <si>
    <t>149/2008г</t>
  </si>
  <si>
    <t>153/2008г</t>
  </si>
  <si>
    <t>Каша пшеничная молочная жидкая</t>
  </si>
  <si>
    <t>128/2008г</t>
  </si>
  <si>
    <t>Помидоры свежие порционно</t>
  </si>
  <si>
    <t>Рассольник ленинградский</t>
  </si>
  <si>
    <t>60/2013г</t>
  </si>
  <si>
    <t>пшенич. молоч</t>
  </si>
  <si>
    <t>компот</t>
  </si>
  <si>
    <t>рассольник</t>
  </si>
  <si>
    <t>104/2013г</t>
  </si>
  <si>
    <t>Котлета рыбная "Нептун"</t>
  </si>
  <si>
    <t>88/2008г</t>
  </si>
  <si>
    <t>рис с овощ</t>
  </si>
  <si>
    <t>груша</t>
  </si>
  <si>
    <t>нептун</t>
  </si>
  <si>
    <t>Фрукт свежий (груша)</t>
  </si>
  <si>
    <t>261/2013г.</t>
  </si>
  <si>
    <t>Кисель из повидла, джема, варенья</t>
  </si>
  <si>
    <t>150/2008г</t>
  </si>
  <si>
    <t>Бутерброд с сыром</t>
  </si>
  <si>
    <t>3/2013г</t>
  </si>
  <si>
    <t>нар. помидоры</t>
  </si>
  <si>
    <t>бутерброд с сыром</t>
  </si>
  <si>
    <t>Щи из свежей капусты с картофелем</t>
  </si>
  <si>
    <t>41/2008г</t>
  </si>
  <si>
    <t>Салат из свежих овощей</t>
  </si>
  <si>
    <t>14/2008г</t>
  </si>
  <si>
    <t>Макаронные изделия отварные</t>
  </si>
  <si>
    <t>97/2008г</t>
  </si>
  <si>
    <t>Гуляш</t>
  </si>
  <si>
    <t>63/2008г</t>
  </si>
  <si>
    <t>Компот из яблок</t>
  </si>
  <si>
    <t>251/2013г</t>
  </si>
  <si>
    <t>макароны</t>
  </si>
  <si>
    <t>гуляш</t>
  </si>
  <si>
    <t>апельсин</t>
  </si>
  <si>
    <t>комп из яблок</t>
  </si>
  <si>
    <t xml:space="preserve">компот </t>
  </si>
  <si>
    <t>какао</t>
  </si>
  <si>
    <t>Фрукт свежий (апельсин)</t>
  </si>
  <si>
    <t>141/2008г</t>
  </si>
  <si>
    <t>чай с сах</t>
  </si>
  <si>
    <t>261/2013г</t>
  </si>
  <si>
    <t>Омлет натуральный</t>
  </si>
  <si>
    <t>112/2008г</t>
  </si>
  <si>
    <t>омлет натур</t>
  </si>
  <si>
    <t>сок ябл</t>
  </si>
  <si>
    <t>Каша пшённая молочная жидкая</t>
  </si>
  <si>
    <t>суп с крупой</t>
  </si>
  <si>
    <t>Суп картофельный с крупой</t>
  </si>
  <si>
    <t>62/2013г</t>
  </si>
  <si>
    <t>Сок фруктовый (яблочный)</t>
  </si>
  <si>
    <t>Салат из свежих огурцов</t>
  </si>
  <si>
    <t>Суп молочный с макаронными изделиями</t>
  </si>
  <si>
    <t>68/2013г</t>
  </si>
  <si>
    <t xml:space="preserve">салат из огур </t>
  </si>
  <si>
    <t>суп молоч</t>
  </si>
  <si>
    <t>геркулес</t>
  </si>
  <si>
    <t>Каша овсянная "Геркулес" жидкая</t>
  </si>
  <si>
    <t>129/2008г</t>
  </si>
  <si>
    <t>жаркое</t>
  </si>
  <si>
    <t>Суп картофельный с макаронными изделиями</t>
  </si>
  <si>
    <t>46/2008г</t>
  </si>
  <si>
    <t>Жаркое по - домашнему</t>
  </si>
  <si>
    <t>176/2013г</t>
  </si>
  <si>
    <t>Вареное яйцо</t>
  </si>
  <si>
    <t>яйцо</t>
  </si>
  <si>
    <t>130/2013г</t>
  </si>
  <si>
    <t>уха</t>
  </si>
  <si>
    <t>рисовая</t>
  </si>
  <si>
    <t>Каша рисовая молочная жидкая</t>
  </si>
  <si>
    <t>130/2008г</t>
  </si>
  <si>
    <t>гороховое пюре</t>
  </si>
  <si>
    <t>шницель</t>
  </si>
  <si>
    <t>свекла с сыром</t>
  </si>
  <si>
    <t>Салат из свёклы с сыром и чесноком</t>
  </si>
  <si>
    <t>37/2013г</t>
  </si>
  <si>
    <t>тазалык</t>
  </si>
  <si>
    <t>оладьи</t>
  </si>
  <si>
    <t>кисель</t>
  </si>
  <si>
    <t>Салат "Тазалык"</t>
  </si>
  <si>
    <t>15/2013г</t>
  </si>
  <si>
    <t>Уха со взбитым яйцом</t>
  </si>
  <si>
    <t>60/2008г</t>
  </si>
  <si>
    <t>Пюре из бобовых с маслом</t>
  </si>
  <si>
    <t>Шницель из говядины</t>
  </si>
  <si>
    <t>181/2013г</t>
  </si>
  <si>
    <t>275/2013г</t>
  </si>
  <si>
    <t>твор  сырники (завтрак)</t>
  </si>
  <si>
    <t>плов из куры</t>
  </si>
  <si>
    <t>бул.ван</t>
  </si>
  <si>
    <t>веснушка</t>
  </si>
  <si>
    <t>ватруш с повидлом</t>
  </si>
  <si>
    <t>перепечи с карт</t>
  </si>
  <si>
    <t xml:space="preserve"> ГПД</t>
  </si>
  <si>
    <t>гребешок</t>
  </si>
  <si>
    <t>зразы из гов с яйцом</t>
  </si>
  <si>
    <t>1 день</t>
  </si>
  <si>
    <t>2 день</t>
  </si>
  <si>
    <t>3 день</t>
  </si>
  <si>
    <t>4 день</t>
  </si>
  <si>
    <t xml:space="preserve"> 5 день</t>
  </si>
  <si>
    <t>6 день</t>
  </si>
  <si>
    <t>7 день</t>
  </si>
  <si>
    <t>8 день</t>
  </si>
  <si>
    <t xml:space="preserve"> 9 день</t>
  </si>
  <si>
    <t>10 день</t>
  </si>
  <si>
    <t>11 день</t>
  </si>
  <si>
    <t>12 день</t>
  </si>
  <si>
    <t xml:space="preserve">корж мол </t>
  </si>
  <si>
    <t>ватруш с твор</t>
  </si>
  <si>
    <t>кап+огур+мор (св. овощи)</t>
  </si>
  <si>
    <t>гречневая на молоке</t>
  </si>
  <si>
    <t>суп молочный с макаронами</t>
  </si>
  <si>
    <t>карт. пюре</t>
  </si>
  <si>
    <t xml:space="preserve">карт. пюре </t>
  </si>
  <si>
    <t>рыба туш с овощ</t>
  </si>
  <si>
    <t>винегрет</t>
  </si>
  <si>
    <t>каша пшено</t>
  </si>
  <si>
    <t>мясо гов</t>
  </si>
  <si>
    <t>кур отвар (запеч)</t>
  </si>
  <si>
    <t>нап из шипов</t>
  </si>
  <si>
    <t>морков с сыр и яйцом</t>
  </si>
  <si>
    <t>Оладьи</t>
  </si>
  <si>
    <t>110/2008г</t>
  </si>
  <si>
    <t>Плов из курицы</t>
  </si>
  <si>
    <t>200/2013г</t>
  </si>
  <si>
    <t>Булочка "Веснушка"</t>
  </si>
  <si>
    <t>293/2013г</t>
  </si>
  <si>
    <t>Каша гречневая на  молоке (вязкая)</t>
  </si>
  <si>
    <t>121/2008г</t>
  </si>
  <si>
    <t>Капуста тушеная</t>
  </si>
  <si>
    <t>Зразы из говядины с яйцом</t>
  </si>
  <si>
    <t>84/2013г</t>
  </si>
  <si>
    <t>73/2008г</t>
  </si>
  <si>
    <t>пирож рис с яйцом</t>
  </si>
  <si>
    <t>Ватрушка с повидлом</t>
  </si>
  <si>
    <t>283/2013г</t>
  </si>
  <si>
    <t>суп карт с мяс фрик</t>
  </si>
  <si>
    <t>Суп картофельный с мясными фрикадельками</t>
  </si>
  <si>
    <t>Салат из моркови с сыром и яйцом</t>
  </si>
  <si>
    <t>11/2008г</t>
  </si>
  <si>
    <t>Рыба тушеная в томате с овощами</t>
  </si>
  <si>
    <t>84/2008г</t>
  </si>
  <si>
    <t>каша (завтрак)</t>
  </si>
  <si>
    <t>*завтрак</t>
  </si>
  <si>
    <t>Пирожок рис с яйцом</t>
  </si>
  <si>
    <t>279/2013г</t>
  </si>
  <si>
    <t>Винегрет</t>
  </si>
  <si>
    <t>30/2008г</t>
  </si>
  <si>
    <t>Ватрушка с творогом</t>
  </si>
  <si>
    <t>106/2013г</t>
  </si>
  <si>
    <t>Птица отварная</t>
  </si>
  <si>
    <t>197/2013г</t>
  </si>
  <si>
    <t>Напиток из подов шиповника</t>
  </si>
  <si>
    <t>267/2013г</t>
  </si>
  <si>
    <t xml:space="preserve">Гребешок </t>
  </si>
  <si>
    <t>285/2013г</t>
  </si>
  <si>
    <t>Наименование/день</t>
  </si>
  <si>
    <t>Среднее</t>
  </si>
  <si>
    <t>чай с лим*</t>
  </si>
  <si>
    <t>коф. нап</t>
  </si>
  <si>
    <t>Перепечи с картошкой</t>
  </si>
  <si>
    <t>Выполнение</t>
  </si>
  <si>
    <t>Нормы 7..10</t>
  </si>
  <si>
    <t>Неделя: первая, третья.</t>
  </si>
  <si>
    <t>Сезон: осень-зима</t>
  </si>
  <si>
    <t>127/2008г</t>
  </si>
  <si>
    <t>суп с рыб фрик</t>
  </si>
  <si>
    <t>67/2013г</t>
  </si>
  <si>
    <t>Суп картофельный с рыбными фрикдельками</t>
  </si>
  <si>
    <t>1/2013г</t>
  </si>
  <si>
    <t>Бутерброд с маслом сливочным</t>
  </si>
  <si>
    <t>Бутерброд с джемом или повидлом</t>
  </si>
  <si>
    <t>2/2013г</t>
  </si>
  <si>
    <t>рагу овощ</t>
  </si>
  <si>
    <r>
      <t>какао</t>
    </r>
    <r>
      <rPr>
        <sz val="9"/>
        <color theme="1"/>
        <rFont val="Calibri"/>
        <family val="2"/>
        <charset val="204"/>
      </rPr>
      <t>*</t>
    </r>
  </si>
  <si>
    <r>
      <t>коф.нап</t>
    </r>
    <r>
      <rPr>
        <sz val="9"/>
        <color theme="1"/>
        <rFont val="Calibri"/>
        <family val="2"/>
        <charset val="204"/>
      </rPr>
      <t>*</t>
    </r>
  </si>
  <si>
    <r>
      <t>чай с сах</t>
    </r>
    <r>
      <rPr>
        <sz val="9"/>
        <color theme="1"/>
        <rFont val="Calibri"/>
        <family val="2"/>
        <charset val="204"/>
      </rPr>
      <t>*</t>
    </r>
  </si>
  <si>
    <r>
      <t>компот</t>
    </r>
    <r>
      <rPr>
        <sz val="9"/>
        <color theme="1"/>
        <rFont val="Calibri"/>
        <family val="2"/>
        <charset val="204"/>
      </rPr>
      <t>*</t>
    </r>
  </si>
  <si>
    <r>
      <t>сок ябл</t>
    </r>
    <r>
      <rPr>
        <sz val="9"/>
        <color theme="1"/>
        <rFont val="Calibri"/>
        <family val="2"/>
        <charset val="204"/>
      </rPr>
      <t>*</t>
    </r>
  </si>
  <si>
    <r>
      <t>чай с лим</t>
    </r>
    <r>
      <rPr>
        <sz val="9"/>
        <color theme="1"/>
        <rFont val="Calibri"/>
        <family val="2"/>
        <charset val="204"/>
      </rPr>
      <t>*</t>
    </r>
  </si>
  <si>
    <t>суп с дом лапшой</t>
  </si>
  <si>
    <t>кап. туш</t>
  </si>
  <si>
    <t>День: вторник.</t>
  </si>
  <si>
    <t>Возрастная категория: 7-11 лет.</t>
  </si>
  <si>
    <t>День: понедельник.</t>
  </si>
  <si>
    <t>День: среда.</t>
  </si>
  <si>
    <t>День: четверг.</t>
  </si>
  <si>
    <t>День: пятница.</t>
  </si>
  <si>
    <t>День: суббота.</t>
  </si>
  <si>
    <t>Неделя: вторая, четвертая.</t>
  </si>
  <si>
    <t>Каша пшённая вязкая с маслом</t>
  </si>
  <si>
    <t>Голубцы "Уралочка"</t>
  </si>
  <si>
    <t>191/2013г</t>
  </si>
  <si>
    <t>Суп картофельный с клёцками</t>
  </si>
  <si>
    <t>Рагу из овощей</t>
  </si>
  <si>
    <t>65/2013г</t>
  </si>
  <si>
    <t>87/2013г</t>
  </si>
  <si>
    <t>Суфле из птицы</t>
  </si>
  <si>
    <t>суфле из птицы</t>
  </si>
  <si>
    <t>голубцы "Уралочка"</t>
  </si>
  <si>
    <t>пшенная</t>
  </si>
  <si>
    <t>фруктовый суп</t>
  </si>
  <si>
    <t>Суп из смеси сухофруктов</t>
  </si>
  <si>
    <t>196/2004г</t>
  </si>
  <si>
    <t>суп с клецками</t>
  </si>
  <si>
    <t>щи</t>
  </si>
  <si>
    <t>Сырники творожные запеченные</t>
  </si>
  <si>
    <t xml:space="preserve">Каша "Дружба" вязкая </t>
  </si>
  <si>
    <t xml:space="preserve">Каша манная молочная жидкая </t>
  </si>
  <si>
    <t>45/2008г</t>
  </si>
  <si>
    <t>Каша рисовая с овощами рассыпчатая</t>
  </si>
  <si>
    <t>Каша гречневая рассыпчатая</t>
  </si>
  <si>
    <t>120/2013г</t>
  </si>
  <si>
    <t>81/2008г</t>
  </si>
  <si>
    <t>206/2013г</t>
  </si>
  <si>
    <t>28/2013г</t>
  </si>
  <si>
    <t>Примерное меню разработано по Сборник техническиих нормативов, рецептур блюд и кулинарных изделий для предприятий общественного питания при общеобразовательных учреждениях Удмуртской Республики. Ижевск 2008 г.</t>
  </si>
  <si>
    <t>Сборник техническиих нормативов, рецептур блюд и кулинарных изделий для организации питания детей в дошкольных организациях                                                                      Удмуртской Республики. Ижевск 2013 г.</t>
  </si>
  <si>
    <t>Сезон: осень-зима 2019-2020гг.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</si>
</sst>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1"/>
      <color rgb="FF7030A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" fontId="0" fillId="0" borderId="1" xfId="0" applyNumberFormat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/>
    <xf numFmtId="164" fontId="1" fillId="3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2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3" borderId="0" xfId="0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16" xfId="0" applyFont="1" applyBorder="1" applyAlignment="1">
      <alignment horizontal="right" vertical="center"/>
    </xf>
    <xf numFmtId="0" fontId="7" fillId="0" borderId="8" xfId="0" applyFont="1" applyBorder="1"/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 wrapText="1"/>
    </xf>
    <xf numFmtId="0" fontId="7" fillId="0" borderId="3" xfId="0" applyFont="1" applyBorder="1"/>
    <xf numFmtId="0" fontId="8" fillId="0" borderId="7" xfId="0" applyFont="1" applyBorder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6" xfId="0" applyFont="1" applyBorder="1" applyAlignment="1">
      <alignment horizontal="right" wrapText="1"/>
    </xf>
    <xf numFmtId="0" fontId="7" fillId="0" borderId="17" xfId="0" applyFont="1" applyBorder="1" applyAlignment="1">
      <alignment horizontal="right" wrapText="1"/>
    </xf>
    <xf numFmtId="0" fontId="7" fillId="0" borderId="10" xfId="0" applyFont="1" applyBorder="1"/>
    <xf numFmtId="0" fontId="7" fillId="3" borderId="7" xfId="0" applyFont="1" applyFill="1" applyBorder="1"/>
    <xf numFmtId="0" fontId="7" fillId="3" borderId="22" xfId="0" applyFont="1" applyFill="1" applyBorder="1" applyAlignment="1">
      <alignment horizontal="center"/>
    </xf>
    <xf numFmtId="0" fontId="8" fillId="0" borderId="21" xfId="0" applyFont="1" applyBorder="1"/>
    <xf numFmtId="0" fontId="7" fillId="0" borderId="23" xfId="0" applyFont="1" applyBorder="1"/>
    <xf numFmtId="0" fontId="7" fillId="3" borderId="16" xfId="0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/>
    </xf>
    <xf numFmtId="0" fontId="7" fillId="3" borderId="8" xfId="0" applyFont="1" applyFill="1" applyBorder="1"/>
    <xf numFmtId="0" fontId="7" fillId="3" borderId="17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3" xfId="0" applyFont="1" applyFill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/>
    <xf numFmtId="16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0" fontId="4" fillId="4" borderId="1" xfId="0" applyFont="1" applyFill="1" applyBorder="1"/>
    <xf numFmtId="0" fontId="1" fillId="0" borderId="1" xfId="0" applyFont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0" fillId="0" borderId="0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1" fillId="3" borderId="12" xfId="1" applyFont="1" applyFill="1" applyBorder="1" applyAlignment="1" applyProtection="1">
      <alignment horizontal="center" vertical="center"/>
    </xf>
    <xf numFmtId="0" fontId="11" fillId="3" borderId="13" xfId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5" fillId="3" borderId="13" xfId="1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6" fillId="3" borderId="0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5" fillId="3" borderId="12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zoomScaleNormal="100" workbookViewId="0">
      <selection activeCell="A5" sqref="A5:A6"/>
    </sheetView>
  </sheetViews>
  <sheetFormatPr defaultRowHeight="15" x14ac:dyDescent="0.25"/>
  <cols>
    <col min="1" max="1" width="8.28515625" customWidth="1"/>
    <col min="2" max="2" width="11.5703125" customWidth="1"/>
    <col min="3" max="3" width="12.140625" customWidth="1"/>
    <col min="4" max="4" width="13" customWidth="1"/>
    <col min="5" max="5" width="11.5703125" customWidth="1"/>
    <col min="6" max="6" width="10.5703125" customWidth="1"/>
    <col min="7" max="7" width="9.7109375" customWidth="1"/>
    <col min="8" max="8" width="10.85546875" customWidth="1"/>
    <col min="9" max="9" width="13.140625" customWidth="1"/>
    <col min="10" max="10" width="9.140625" customWidth="1"/>
    <col min="11" max="11" width="16.140625" customWidth="1"/>
    <col min="12" max="12" width="5.42578125" customWidth="1"/>
    <col min="13" max="13" width="6" customWidth="1"/>
    <col min="14" max="14" width="5.7109375" customWidth="1"/>
    <col min="15" max="15" width="5.85546875" customWidth="1"/>
    <col min="16" max="16" width="5.7109375" customWidth="1"/>
    <col min="17" max="17" width="4.85546875" customWidth="1"/>
    <col min="18" max="18" width="5.5703125" customWidth="1"/>
    <col min="19" max="20" width="5" customWidth="1"/>
    <col min="21" max="21" width="4.7109375" customWidth="1"/>
    <col min="22" max="22" width="3.85546875" customWidth="1"/>
    <col min="23" max="23" width="4.85546875" customWidth="1"/>
    <col min="24" max="24" width="4" customWidth="1"/>
    <col min="25" max="25" width="5.28515625" customWidth="1"/>
    <col min="26" max="26" width="5" customWidth="1"/>
    <col min="27" max="27" width="4.7109375" customWidth="1"/>
    <col min="28" max="28" width="5" customWidth="1"/>
    <col min="29" max="29" width="5.28515625" customWidth="1"/>
    <col min="30" max="30" width="4.5703125" customWidth="1"/>
    <col min="31" max="31" width="4.7109375" customWidth="1"/>
    <col min="33" max="33" width="10.42578125" customWidth="1"/>
    <col min="35" max="35" width="12.28515625" customWidth="1"/>
    <col min="36" max="36" width="9.42578125" customWidth="1"/>
    <col min="37" max="37" width="12.28515625" customWidth="1"/>
    <col min="40" max="40" width="13.7109375" customWidth="1"/>
    <col min="42" max="42" width="12.85546875" customWidth="1"/>
    <col min="43" max="43" width="10.85546875" customWidth="1"/>
    <col min="44" max="44" width="10.7109375" customWidth="1"/>
  </cols>
  <sheetData>
    <row r="1" spans="1:52" ht="15.75" thickBot="1" x14ac:dyDescent="0.3"/>
    <row r="2" spans="1:52" ht="15.75" thickBot="1" x14ac:dyDescent="0.3">
      <c r="A2" s="85" t="s">
        <v>43</v>
      </c>
      <c r="B2" s="86" t="s">
        <v>49</v>
      </c>
      <c r="C2" s="86" t="s">
        <v>229</v>
      </c>
      <c r="D2" s="86" t="s">
        <v>47</v>
      </c>
      <c r="E2" s="86" t="s">
        <v>42</v>
      </c>
      <c r="F2" s="86" t="s">
        <v>46</v>
      </c>
      <c r="G2" s="86" t="s">
        <v>44</v>
      </c>
      <c r="H2" s="86" t="s">
        <v>204</v>
      </c>
      <c r="I2" s="86" t="s">
        <v>45</v>
      </c>
      <c r="J2" s="86" t="s">
        <v>48</v>
      </c>
      <c r="K2" s="87" t="s">
        <v>179</v>
      </c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42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</row>
    <row r="3" spans="1:52" x14ac:dyDescent="0.25">
      <c r="A3" s="170" t="s">
        <v>182</v>
      </c>
      <c r="B3" s="88" t="s">
        <v>261</v>
      </c>
      <c r="C3" s="166" t="s">
        <v>50</v>
      </c>
      <c r="D3" s="166" t="s">
        <v>54</v>
      </c>
      <c r="E3" s="180" t="s">
        <v>253</v>
      </c>
      <c r="F3" s="166" t="s">
        <v>199</v>
      </c>
      <c r="G3" s="166"/>
      <c r="H3" s="166" t="s">
        <v>52</v>
      </c>
      <c r="I3" s="166"/>
      <c r="J3" s="166" t="s">
        <v>53</v>
      </c>
      <c r="K3" s="89" t="s">
        <v>194</v>
      </c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41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77"/>
      <c r="AT3" s="77"/>
      <c r="AU3" s="77"/>
      <c r="AV3" s="77"/>
      <c r="AW3" s="77"/>
      <c r="AX3" s="77"/>
      <c r="AY3" s="77"/>
      <c r="AZ3" s="77"/>
    </row>
    <row r="4" spans="1:52" ht="15.75" thickBot="1" x14ac:dyDescent="0.3">
      <c r="A4" s="171"/>
      <c r="B4" s="90" t="s">
        <v>122</v>
      </c>
      <c r="C4" s="167"/>
      <c r="D4" s="167"/>
      <c r="E4" s="181"/>
      <c r="F4" s="167"/>
      <c r="G4" s="167"/>
      <c r="H4" s="167"/>
      <c r="I4" s="167"/>
      <c r="J4" s="167"/>
      <c r="K4" s="91" t="s">
        <v>81</v>
      </c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168"/>
      <c r="AI4" s="169"/>
      <c r="AJ4" s="165"/>
      <c r="AK4" s="165"/>
      <c r="AL4" s="26"/>
      <c r="AM4" s="165"/>
      <c r="AN4" s="26"/>
      <c r="AO4" s="165"/>
      <c r="AP4" s="165"/>
      <c r="AQ4" s="165"/>
      <c r="AR4" s="165"/>
      <c r="AS4" s="77"/>
      <c r="AT4" s="77"/>
      <c r="AU4" s="77"/>
      <c r="AV4" s="77"/>
      <c r="AW4" s="77"/>
      <c r="AX4" s="77"/>
      <c r="AY4" s="77"/>
      <c r="AZ4" s="77"/>
    </row>
    <row r="5" spans="1:52" x14ac:dyDescent="0.25">
      <c r="A5" s="170" t="s">
        <v>183</v>
      </c>
      <c r="B5" s="92" t="s">
        <v>262</v>
      </c>
      <c r="C5" s="159" t="s">
        <v>61</v>
      </c>
      <c r="D5" s="159" t="s">
        <v>82</v>
      </c>
      <c r="E5" s="172" t="s">
        <v>292</v>
      </c>
      <c r="F5" s="159" t="s">
        <v>79</v>
      </c>
      <c r="G5" s="174"/>
      <c r="H5" s="174"/>
      <c r="I5" s="159" t="s">
        <v>78</v>
      </c>
      <c r="J5" s="159" t="s">
        <v>80</v>
      </c>
      <c r="K5" s="93" t="s">
        <v>175</v>
      </c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168"/>
      <c r="AI5" s="169"/>
      <c r="AJ5" s="165"/>
      <c r="AK5" s="165"/>
      <c r="AL5" s="26"/>
      <c r="AM5" s="165"/>
      <c r="AN5" s="26"/>
      <c r="AO5" s="165"/>
      <c r="AP5" s="165"/>
      <c r="AQ5" s="165"/>
      <c r="AR5" s="165"/>
      <c r="AS5" s="77"/>
      <c r="AT5" s="77"/>
      <c r="AU5" s="77"/>
      <c r="AV5" s="77"/>
      <c r="AW5" s="77"/>
      <c r="AX5" s="77"/>
      <c r="AY5" s="77"/>
      <c r="AZ5" s="77"/>
    </row>
    <row r="6" spans="1:52" ht="15.75" thickBot="1" x14ac:dyDescent="0.3">
      <c r="A6" s="171"/>
      <c r="B6" s="94" t="s">
        <v>81</v>
      </c>
      <c r="C6" s="160"/>
      <c r="D6" s="160"/>
      <c r="E6" s="173"/>
      <c r="F6" s="160"/>
      <c r="G6" s="175"/>
      <c r="H6" s="175"/>
      <c r="I6" s="160"/>
      <c r="J6" s="160"/>
      <c r="K6" s="95" t="s">
        <v>126</v>
      </c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168"/>
      <c r="AI6" s="77"/>
      <c r="AJ6" s="165"/>
      <c r="AK6" s="165"/>
      <c r="AL6" s="77"/>
      <c r="AM6" s="77"/>
      <c r="AN6" s="165"/>
      <c r="AO6" s="165"/>
      <c r="AP6" s="165"/>
      <c r="AQ6" s="165"/>
      <c r="AR6" s="165"/>
      <c r="AS6" s="77"/>
      <c r="AT6" s="77"/>
      <c r="AU6" s="77"/>
      <c r="AV6" s="77"/>
      <c r="AW6" s="77"/>
      <c r="AX6" s="77"/>
      <c r="AY6" s="77"/>
      <c r="AZ6" s="77"/>
    </row>
    <row r="7" spans="1:52" ht="15" customHeight="1" x14ac:dyDescent="0.25">
      <c r="A7" s="192" t="s">
        <v>184</v>
      </c>
      <c r="B7" s="92" t="s">
        <v>263</v>
      </c>
      <c r="C7" s="159" t="s">
        <v>130</v>
      </c>
      <c r="D7" s="172" t="s">
        <v>196</v>
      </c>
      <c r="E7" s="172" t="s">
        <v>65</v>
      </c>
      <c r="F7" s="159" t="s">
        <v>118</v>
      </c>
      <c r="G7" s="174"/>
      <c r="H7" s="159" t="s">
        <v>119</v>
      </c>
      <c r="I7" s="174"/>
      <c r="J7" s="159" t="s">
        <v>120</v>
      </c>
      <c r="K7" s="111" t="s">
        <v>178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168"/>
      <c r="AI7" s="77"/>
      <c r="AJ7" s="165"/>
      <c r="AK7" s="165"/>
      <c r="AL7" s="77"/>
      <c r="AM7" s="77"/>
      <c r="AN7" s="165"/>
      <c r="AO7" s="165"/>
      <c r="AP7" s="165"/>
      <c r="AQ7" s="165"/>
      <c r="AR7" s="165"/>
      <c r="AS7" s="77"/>
      <c r="AT7" s="77"/>
      <c r="AU7" s="77"/>
      <c r="AV7" s="77"/>
      <c r="AW7" s="77"/>
      <c r="AX7" s="77"/>
      <c r="AY7" s="77"/>
      <c r="AZ7" s="77"/>
    </row>
    <row r="8" spans="1:52" ht="15.75" customHeight="1" thickBot="1" x14ac:dyDescent="0.3">
      <c r="A8" s="178"/>
      <c r="B8" s="94" t="s">
        <v>164</v>
      </c>
      <c r="C8" s="160"/>
      <c r="D8" s="173"/>
      <c r="E8" s="173"/>
      <c r="F8" s="160"/>
      <c r="G8" s="175"/>
      <c r="H8" s="160"/>
      <c r="I8" s="175"/>
      <c r="J8" s="160"/>
      <c r="K8" s="91" t="s">
        <v>126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168"/>
      <c r="AI8" s="77"/>
      <c r="AJ8" s="165"/>
      <c r="AK8" s="165"/>
      <c r="AL8" s="77"/>
      <c r="AM8" s="77"/>
      <c r="AN8" s="165"/>
      <c r="AO8" s="165"/>
      <c r="AP8" s="165"/>
      <c r="AQ8" s="165"/>
      <c r="AR8" s="165"/>
      <c r="AS8" s="77"/>
      <c r="AT8" s="77"/>
      <c r="AU8" s="77"/>
      <c r="AV8" s="77"/>
      <c r="AW8" s="77"/>
      <c r="AX8" s="77"/>
      <c r="AY8" s="77"/>
      <c r="AZ8" s="77"/>
    </row>
    <row r="9" spans="1:52" ht="15" customHeight="1" x14ac:dyDescent="0.25">
      <c r="A9" s="177" t="s">
        <v>185</v>
      </c>
      <c r="B9" s="97" t="s">
        <v>264</v>
      </c>
      <c r="C9" s="179" t="s">
        <v>91</v>
      </c>
      <c r="D9" s="176" t="s">
        <v>106</v>
      </c>
      <c r="E9" s="176" t="s">
        <v>93</v>
      </c>
      <c r="F9" s="179" t="s">
        <v>97</v>
      </c>
      <c r="G9" s="176" t="s">
        <v>99</v>
      </c>
      <c r="H9" s="176"/>
      <c r="I9" s="176"/>
      <c r="J9" s="176" t="s">
        <v>98</v>
      </c>
      <c r="K9" s="114" t="s">
        <v>107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168"/>
      <c r="AI9" s="77"/>
      <c r="AJ9" s="165"/>
      <c r="AK9" s="165"/>
      <c r="AL9" s="77"/>
      <c r="AM9" s="77"/>
      <c r="AN9" s="165"/>
      <c r="AO9" s="165"/>
      <c r="AP9" s="165"/>
      <c r="AQ9" s="165"/>
      <c r="AR9" s="165"/>
      <c r="AS9" s="77"/>
      <c r="AT9" s="77"/>
      <c r="AU9" s="77"/>
      <c r="AV9" s="77"/>
      <c r="AW9" s="77"/>
      <c r="AX9" s="77"/>
      <c r="AY9" s="77"/>
      <c r="AZ9" s="77"/>
    </row>
    <row r="10" spans="1:52" ht="15.75" thickBot="1" x14ac:dyDescent="0.3">
      <c r="A10" s="178"/>
      <c r="B10" s="94" t="s">
        <v>126</v>
      </c>
      <c r="C10" s="173"/>
      <c r="D10" s="160"/>
      <c r="E10" s="160"/>
      <c r="F10" s="173"/>
      <c r="G10" s="160"/>
      <c r="H10" s="160"/>
      <c r="I10" s="160"/>
      <c r="J10" s="160"/>
      <c r="K10" s="96" t="s">
        <v>164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4"/>
      <c r="AI10" s="77"/>
      <c r="AJ10" s="75"/>
      <c r="AK10" s="72"/>
      <c r="AL10" s="72"/>
      <c r="AM10" s="72"/>
      <c r="AN10" s="72"/>
      <c r="AO10" s="75"/>
      <c r="AP10" s="72"/>
      <c r="AQ10" s="72"/>
      <c r="AR10" s="72"/>
      <c r="AS10" s="77"/>
      <c r="AT10" s="77"/>
      <c r="AU10" s="77"/>
      <c r="AV10" s="77"/>
      <c r="AW10" s="77"/>
      <c r="AX10" s="77"/>
      <c r="AY10" s="77"/>
      <c r="AZ10" s="77"/>
    </row>
    <row r="11" spans="1:52" ht="15" customHeight="1" x14ac:dyDescent="0.25">
      <c r="A11" s="170" t="s">
        <v>186</v>
      </c>
      <c r="B11" s="107" t="s">
        <v>264</v>
      </c>
      <c r="C11" s="157" t="s">
        <v>142</v>
      </c>
      <c r="D11" s="157" t="s">
        <v>159</v>
      </c>
      <c r="E11" s="180" t="s">
        <v>267</v>
      </c>
      <c r="F11" s="157" t="s">
        <v>268</v>
      </c>
      <c r="G11" s="153"/>
      <c r="H11" s="153"/>
      <c r="I11" s="155" t="s">
        <v>205</v>
      </c>
      <c r="J11" s="157" t="s">
        <v>53</v>
      </c>
      <c r="K11" s="115" t="s">
        <v>151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4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</row>
    <row r="12" spans="1:52" ht="15.75" thickBot="1" x14ac:dyDescent="0.3">
      <c r="A12" s="171"/>
      <c r="B12" s="116" t="s">
        <v>81</v>
      </c>
      <c r="C12" s="158"/>
      <c r="D12" s="158"/>
      <c r="E12" s="181"/>
      <c r="F12" s="158"/>
      <c r="G12" s="154"/>
      <c r="H12" s="154"/>
      <c r="I12" s="156"/>
      <c r="J12" s="158"/>
      <c r="K12" s="117" t="s">
        <v>126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4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</row>
    <row r="13" spans="1:52" ht="15" customHeight="1" x14ac:dyDescent="0.25">
      <c r="A13" s="170" t="s">
        <v>187</v>
      </c>
      <c r="B13" s="107" t="s">
        <v>265</v>
      </c>
      <c r="C13" s="180" t="s">
        <v>154</v>
      </c>
      <c r="D13" s="157" t="s">
        <v>140</v>
      </c>
      <c r="E13" s="180" t="s">
        <v>133</v>
      </c>
      <c r="F13" s="157" t="s">
        <v>145</v>
      </c>
      <c r="G13" s="153"/>
      <c r="H13" s="153"/>
      <c r="I13" s="155"/>
      <c r="J13" s="159" t="s">
        <v>80</v>
      </c>
      <c r="K13" s="118" t="s">
        <v>141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4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</row>
    <row r="14" spans="1:52" ht="15.75" thickBot="1" x14ac:dyDescent="0.3">
      <c r="A14" s="171"/>
      <c r="B14" s="116" t="s">
        <v>123</v>
      </c>
      <c r="C14" s="181"/>
      <c r="D14" s="158"/>
      <c r="E14" s="181"/>
      <c r="F14" s="158"/>
      <c r="G14" s="154"/>
      <c r="H14" s="154"/>
      <c r="I14" s="156"/>
      <c r="J14" s="160"/>
      <c r="K14" s="119" t="s">
        <v>126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4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</row>
    <row r="15" spans="1:52" ht="15" customHeight="1" x14ac:dyDescent="0.25">
      <c r="A15" s="170" t="s">
        <v>188</v>
      </c>
      <c r="B15" s="98" t="s">
        <v>245</v>
      </c>
      <c r="C15" s="157" t="s">
        <v>287</v>
      </c>
      <c r="D15" s="159" t="s">
        <v>162</v>
      </c>
      <c r="E15" s="159" t="s">
        <v>153</v>
      </c>
      <c r="F15" s="184" t="s">
        <v>157</v>
      </c>
      <c r="G15" s="174"/>
      <c r="H15" s="172" t="s">
        <v>286</v>
      </c>
      <c r="I15" s="159"/>
      <c r="J15" s="159" t="s">
        <v>98</v>
      </c>
      <c r="K15" s="99" t="s">
        <v>163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4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</row>
    <row r="16" spans="1:52" ht="15.75" customHeight="1" thickBot="1" x14ac:dyDescent="0.3">
      <c r="A16" s="171"/>
      <c r="B16" s="94" t="s">
        <v>131</v>
      </c>
      <c r="C16" s="158"/>
      <c r="D16" s="160"/>
      <c r="E16" s="160"/>
      <c r="F16" s="185"/>
      <c r="G16" s="175"/>
      <c r="H16" s="173"/>
      <c r="I16" s="160"/>
      <c r="J16" s="160"/>
      <c r="K16" s="100" t="s">
        <v>126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4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</row>
    <row r="17" spans="1:52" ht="15" customHeight="1" x14ac:dyDescent="0.25">
      <c r="A17" s="170" t="s">
        <v>189</v>
      </c>
      <c r="B17" s="101" t="s">
        <v>262</v>
      </c>
      <c r="C17" s="182" t="s">
        <v>173</v>
      </c>
      <c r="D17" s="159" t="s">
        <v>82</v>
      </c>
      <c r="E17" s="159" t="s">
        <v>51</v>
      </c>
      <c r="F17" s="159"/>
      <c r="G17" s="163"/>
      <c r="H17" s="163"/>
      <c r="I17" s="159" t="s">
        <v>174</v>
      </c>
      <c r="J17" s="159" t="s">
        <v>120</v>
      </c>
      <c r="K17" s="93" t="s">
        <v>176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4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</row>
    <row r="18" spans="1:52" ht="15.75" thickBot="1" x14ac:dyDescent="0.3">
      <c r="A18" s="171"/>
      <c r="B18" s="94" t="s">
        <v>164</v>
      </c>
      <c r="C18" s="183"/>
      <c r="D18" s="160"/>
      <c r="E18" s="160"/>
      <c r="F18" s="160"/>
      <c r="G18" s="164"/>
      <c r="H18" s="164"/>
      <c r="I18" s="160"/>
      <c r="J18" s="160"/>
      <c r="K18" s="95" t="s">
        <v>126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4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</row>
    <row r="19" spans="1:52" ht="15" customHeight="1" x14ac:dyDescent="0.25">
      <c r="A19" s="170" t="s">
        <v>190</v>
      </c>
      <c r="B19" s="92" t="s">
        <v>261</v>
      </c>
      <c r="C19" s="182" t="s">
        <v>197</v>
      </c>
      <c r="D19" s="159" t="s">
        <v>106</v>
      </c>
      <c r="E19" s="172" t="s">
        <v>291</v>
      </c>
      <c r="F19" s="159" t="s">
        <v>200</v>
      </c>
      <c r="G19" s="163"/>
      <c r="H19" s="161" t="s">
        <v>181</v>
      </c>
      <c r="I19" s="163"/>
      <c r="J19" s="159" t="s">
        <v>53</v>
      </c>
      <c r="K19" s="102" t="s">
        <v>177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4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</row>
    <row r="20" spans="1:52" ht="15.75" customHeight="1" thickBot="1" x14ac:dyDescent="0.3">
      <c r="A20" s="171"/>
      <c r="B20" s="94" t="s">
        <v>92</v>
      </c>
      <c r="C20" s="183"/>
      <c r="D20" s="160"/>
      <c r="E20" s="173"/>
      <c r="F20" s="160"/>
      <c r="G20" s="164"/>
      <c r="H20" s="162"/>
      <c r="I20" s="164"/>
      <c r="J20" s="160"/>
      <c r="K20" s="103" t="s">
        <v>126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4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</row>
    <row r="21" spans="1:52" ht="15" customHeight="1" x14ac:dyDescent="0.25">
      <c r="A21" s="170" t="s">
        <v>191</v>
      </c>
      <c r="B21" s="92" t="s">
        <v>266</v>
      </c>
      <c r="C21" s="157" t="s">
        <v>288</v>
      </c>
      <c r="D21" s="172" t="s">
        <v>207</v>
      </c>
      <c r="E21" s="180" t="s">
        <v>223</v>
      </c>
      <c r="F21" s="157" t="s">
        <v>203</v>
      </c>
      <c r="G21" s="172" t="s">
        <v>201</v>
      </c>
      <c r="H21" s="172"/>
      <c r="I21" s="163"/>
      <c r="J21" s="159" t="s">
        <v>80</v>
      </c>
      <c r="K21" s="104" t="s">
        <v>220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4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</row>
    <row r="22" spans="1:52" ht="15.75" thickBot="1" x14ac:dyDescent="0.3">
      <c r="A22" s="171"/>
      <c r="B22" s="94" t="s">
        <v>121</v>
      </c>
      <c r="C22" s="158"/>
      <c r="D22" s="173"/>
      <c r="E22" s="181"/>
      <c r="F22" s="158"/>
      <c r="G22" s="173"/>
      <c r="H22" s="173"/>
      <c r="I22" s="164"/>
      <c r="J22" s="160"/>
      <c r="K22" s="105" t="s">
        <v>126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4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</row>
    <row r="23" spans="1:52" x14ac:dyDescent="0.25">
      <c r="A23" s="170" t="s">
        <v>192</v>
      </c>
      <c r="B23" s="92" t="s">
        <v>263</v>
      </c>
      <c r="C23" s="159" t="s">
        <v>142</v>
      </c>
      <c r="D23" s="166" t="s">
        <v>202</v>
      </c>
      <c r="E23" s="180" t="s">
        <v>93</v>
      </c>
      <c r="F23" s="157" t="s">
        <v>118</v>
      </c>
      <c r="G23" s="174"/>
      <c r="H23" s="172" t="s">
        <v>158</v>
      </c>
      <c r="I23" s="174"/>
      <c r="J23" s="159" t="s">
        <v>98</v>
      </c>
      <c r="K23" s="99" t="s">
        <v>195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4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</row>
    <row r="24" spans="1:52" ht="16.5" customHeight="1" thickBot="1" x14ac:dyDescent="0.3">
      <c r="A24" s="171"/>
      <c r="B24" s="106" t="s">
        <v>206</v>
      </c>
      <c r="C24" s="160"/>
      <c r="D24" s="167"/>
      <c r="E24" s="181"/>
      <c r="F24" s="158"/>
      <c r="G24" s="175"/>
      <c r="H24" s="173"/>
      <c r="I24" s="175"/>
      <c r="J24" s="160"/>
      <c r="K24" s="100" t="s">
        <v>126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4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</row>
    <row r="25" spans="1:52" x14ac:dyDescent="0.25">
      <c r="A25" s="170" t="s">
        <v>193</v>
      </c>
      <c r="B25" s="107" t="s">
        <v>264</v>
      </c>
      <c r="C25" s="172" t="s">
        <v>198</v>
      </c>
      <c r="D25" s="166" t="s">
        <v>54</v>
      </c>
      <c r="E25" s="180" t="s">
        <v>65</v>
      </c>
      <c r="F25" s="157" t="s">
        <v>260</v>
      </c>
      <c r="G25" s="174"/>
      <c r="H25" s="157"/>
      <c r="I25" s="172" t="s">
        <v>285</v>
      </c>
      <c r="J25" s="159" t="s">
        <v>120</v>
      </c>
      <c r="K25" s="93" t="s">
        <v>180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4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</row>
    <row r="26" spans="1:52" ht="19.5" customHeight="1" thickBot="1" x14ac:dyDescent="0.3">
      <c r="A26" s="171"/>
      <c r="B26" s="94" t="s">
        <v>246</v>
      </c>
      <c r="C26" s="173"/>
      <c r="D26" s="167"/>
      <c r="E26" s="181"/>
      <c r="F26" s="158"/>
      <c r="G26" s="175"/>
      <c r="H26" s="158"/>
      <c r="I26" s="173"/>
      <c r="J26" s="160"/>
      <c r="K26" s="95" t="s">
        <v>126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4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</row>
    <row r="27" spans="1:52" ht="15.75" thickBot="1" x14ac:dyDescent="0.3">
      <c r="A27" s="108"/>
      <c r="B27" s="109" t="s">
        <v>230</v>
      </c>
      <c r="C27" s="110"/>
      <c r="D27" s="97"/>
      <c r="E27" s="120"/>
      <c r="F27" s="120"/>
      <c r="G27" s="97"/>
      <c r="H27" s="97"/>
      <c r="I27" s="97"/>
      <c r="J27" s="97"/>
      <c r="K27" s="9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4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</row>
    <row r="28" spans="1:52" x14ac:dyDescent="0.25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4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</row>
    <row r="29" spans="1:52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42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</row>
    <row r="30" spans="1:52" x14ac:dyDescent="0.2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</row>
    <row r="31" spans="1:5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</row>
    <row r="32" spans="1:52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2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</row>
    <row r="33" spans="1:52" x14ac:dyDescent="0.25">
      <c r="A33" s="28"/>
      <c r="B33" s="77"/>
      <c r="C33" s="77"/>
      <c r="D33" s="77"/>
      <c r="E33" s="77"/>
      <c r="F33" s="77"/>
      <c r="G33" s="77"/>
      <c r="H33" s="77"/>
      <c r="I33" s="42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</row>
    <row r="34" spans="1:52" x14ac:dyDescent="0.25">
      <c r="A34" s="28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</row>
    <row r="35" spans="1:52" x14ac:dyDescent="0.25">
      <c r="A35" s="29"/>
      <c r="B35" s="77"/>
      <c r="C35" s="77"/>
      <c r="D35" s="77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</row>
    <row r="36" spans="1:52" x14ac:dyDescent="0.25">
      <c r="A36" s="30"/>
      <c r="B36" s="77"/>
      <c r="C36" s="77"/>
      <c r="D36" s="77"/>
      <c r="E36" s="186"/>
      <c r="F36" s="73"/>
      <c r="G36" s="168"/>
      <c r="H36" s="165"/>
      <c r="I36" s="165"/>
      <c r="J36" s="165"/>
      <c r="K36" s="165"/>
      <c r="L36" s="165"/>
      <c r="M36" s="165"/>
      <c r="N36" s="46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</row>
    <row r="37" spans="1:52" x14ac:dyDescent="0.25">
      <c r="A37" s="77"/>
      <c r="B37" s="77"/>
      <c r="C37" s="77"/>
      <c r="D37" s="77"/>
      <c r="E37" s="186"/>
      <c r="F37" s="73"/>
      <c r="G37" s="168"/>
      <c r="H37" s="165"/>
      <c r="I37" s="165"/>
      <c r="J37" s="165"/>
      <c r="K37" s="165"/>
      <c r="L37" s="165"/>
      <c r="M37" s="165"/>
      <c r="N37" s="46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</row>
    <row r="38" spans="1:52" x14ac:dyDescent="0.25">
      <c r="A38" s="31"/>
      <c r="B38" s="77"/>
      <c r="C38" s="77"/>
      <c r="D38" s="77"/>
      <c r="E38" s="186"/>
      <c r="F38" s="77"/>
      <c r="G38" s="165"/>
      <c r="H38" s="165"/>
      <c r="I38" s="72"/>
      <c r="J38" s="187"/>
      <c r="K38" s="165"/>
      <c r="L38" s="165"/>
      <c r="M38" s="165"/>
      <c r="N38" s="4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</row>
    <row r="39" spans="1:52" x14ac:dyDescent="0.25">
      <c r="A39" s="77"/>
      <c r="B39" s="77"/>
      <c r="C39" s="77"/>
      <c r="D39" s="77"/>
      <c r="E39" s="186"/>
      <c r="F39" s="77"/>
      <c r="G39" s="165"/>
      <c r="H39" s="165"/>
      <c r="I39" s="72"/>
      <c r="J39" s="187"/>
      <c r="K39" s="165"/>
      <c r="L39" s="165"/>
      <c r="M39" s="165"/>
      <c r="N39" s="4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</row>
    <row r="40" spans="1:52" x14ac:dyDescent="0.25">
      <c r="A40" s="31"/>
      <c r="B40" s="77"/>
      <c r="C40" s="77"/>
      <c r="D40" s="77"/>
      <c r="E40" s="186"/>
      <c r="F40" s="77"/>
      <c r="G40" s="165"/>
      <c r="H40" s="188"/>
      <c r="I40" s="75"/>
      <c r="J40" s="165"/>
      <c r="K40" s="165"/>
      <c r="L40" s="165"/>
      <c r="M40" s="165"/>
      <c r="N40" s="46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</row>
    <row r="41" spans="1:52" x14ac:dyDescent="0.25">
      <c r="A41" s="31"/>
      <c r="B41" s="77"/>
      <c r="C41" s="77"/>
      <c r="D41" s="77"/>
      <c r="E41" s="186"/>
      <c r="F41" s="77"/>
      <c r="G41" s="165"/>
      <c r="H41" s="188"/>
      <c r="I41" s="75"/>
      <c r="J41" s="165"/>
      <c r="K41" s="165"/>
      <c r="L41" s="165"/>
      <c r="M41" s="165"/>
      <c r="N41" s="46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</row>
    <row r="42" spans="1:52" x14ac:dyDescent="0.25">
      <c r="A42" s="31"/>
      <c r="B42" s="77"/>
      <c r="C42" s="77"/>
      <c r="D42" s="77"/>
      <c r="E42" s="186"/>
      <c r="F42" s="77"/>
      <c r="G42" s="188"/>
      <c r="H42" s="165"/>
      <c r="I42" s="72"/>
      <c r="J42" s="165"/>
      <c r="K42" s="187"/>
      <c r="L42" s="188"/>
      <c r="M42" s="165"/>
      <c r="N42" s="53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</row>
    <row r="43" spans="1:52" x14ac:dyDescent="0.25">
      <c r="A43" s="31"/>
      <c r="B43" s="77"/>
      <c r="C43" s="77"/>
      <c r="D43" s="77"/>
      <c r="E43" s="186"/>
      <c r="F43" s="77"/>
      <c r="G43" s="188"/>
      <c r="H43" s="165"/>
      <c r="I43" s="72"/>
      <c r="J43" s="165"/>
      <c r="K43" s="187"/>
      <c r="L43" s="188"/>
      <c r="M43" s="165"/>
      <c r="N43" s="48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</row>
    <row r="44" spans="1:52" x14ac:dyDescent="0.25">
      <c r="A44" s="32"/>
      <c r="B44" s="77"/>
      <c r="C44" s="77"/>
      <c r="D44" s="77"/>
      <c r="E44" s="186"/>
      <c r="F44" s="77"/>
      <c r="G44" s="188"/>
      <c r="H44" s="187"/>
      <c r="I44" s="165"/>
      <c r="J44" s="187"/>
      <c r="K44" s="187"/>
      <c r="L44" s="165"/>
      <c r="M44" s="165"/>
      <c r="N44" s="49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</row>
    <row r="45" spans="1:52" x14ac:dyDescent="0.25">
      <c r="A45" s="77"/>
      <c r="B45" s="77"/>
      <c r="C45" s="77"/>
      <c r="D45" s="77"/>
      <c r="E45" s="186"/>
      <c r="F45" s="77"/>
      <c r="G45" s="188"/>
      <c r="H45" s="187"/>
      <c r="I45" s="165"/>
      <c r="J45" s="187"/>
      <c r="K45" s="187"/>
      <c r="L45" s="165"/>
      <c r="M45" s="165"/>
      <c r="N45" s="49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</row>
    <row r="46" spans="1:52" x14ac:dyDescent="0.25">
      <c r="A46" s="77"/>
      <c r="B46" s="77"/>
      <c r="C46" s="77"/>
      <c r="D46" s="77"/>
      <c r="E46" s="186"/>
      <c r="F46" s="77"/>
      <c r="G46" s="165"/>
      <c r="H46" s="165"/>
      <c r="I46" s="189"/>
      <c r="J46" s="187"/>
      <c r="K46" s="187"/>
      <c r="L46" s="165"/>
      <c r="M46" s="165"/>
      <c r="N46" s="4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</row>
    <row r="47" spans="1:52" x14ac:dyDescent="0.25">
      <c r="A47" s="77"/>
      <c r="B47" s="77"/>
      <c r="C47" s="77"/>
      <c r="D47" s="77"/>
      <c r="E47" s="186"/>
      <c r="F47" s="77"/>
      <c r="G47" s="165"/>
      <c r="H47" s="165"/>
      <c r="I47" s="189"/>
      <c r="J47" s="187"/>
      <c r="K47" s="187"/>
      <c r="L47" s="165"/>
      <c r="M47" s="165"/>
      <c r="N47" s="4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</row>
    <row r="48" spans="1:52" x14ac:dyDescent="0.25">
      <c r="A48" s="77"/>
      <c r="B48" s="77"/>
      <c r="C48" s="77"/>
      <c r="D48" s="77"/>
      <c r="E48" s="186"/>
      <c r="F48" s="77"/>
      <c r="G48" s="165"/>
      <c r="H48" s="191"/>
      <c r="I48" s="186"/>
      <c r="J48" s="165"/>
      <c r="K48" s="165"/>
      <c r="L48" s="165"/>
      <c r="M48" s="165"/>
      <c r="N48" s="49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</row>
    <row r="49" spans="1:52" x14ac:dyDescent="0.25">
      <c r="A49" s="77"/>
      <c r="B49" s="77"/>
      <c r="C49" s="77"/>
      <c r="D49" s="77"/>
      <c r="E49" s="186"/>
      <c r="F49" s="77"/>
      <c r="G49" s="165"/>
      <c r="H49" s="191"/>
      <c r="I49" s="186"/>
      <c r="J49" s="165"/>
      <c r="K49" s="165"/>
      <c r="L49" s="165"/>
      <c r="M49" s="165"/>
      <c r="N49" s="49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</row>
    <row r="50" spans="1:52" x14ac:dyDescent="0.25">
      <c r="A50" s="77"/>
      <c r="B50" s="77"/>
      <c r="C50" s="77"/>
      <c r="D50" s="77"/>
      <c r="E50" s="186"/>
      <c r="F50" s="50"/>
      <c r="G50" s="165"/>
      <c r="H50" s="187"/>
      <c r="I50" s="188"/>
      <c r="J50" s="189"/>
      <c r="K50" s="165"/>
      <c r="L50" s="165"/>
      <c r="M50" s="165"/>
      <c r="N50" s="47"/>
      <c r="O50" s="77"/>
      <c r="P50" s="77"/>
      <c r="Q50" s="77"/>
      <c r="R50" s="77"/>
      <c r="S50" s="77"/>
      <c r="T50" s="77"/>
      <c r="U50" s="77"/>
      <c r="V50" s="77"/>
      <c r="W50" s="77"/>
    </row>
    <row r="51" spans="1:52" x14ac:dyDescent="0.25">
      <c r="A51" s="77"/>
      <c r="B51" s="77"/>
      <c r="C51" s="77"/>
      <c r="D51" s="77"/>
      <c r="E51" s="186"/>
      <c r="F51" s="77"/>
      <c r="G51" s="165"/>
      <c r="H51" s="187"/>
      <c r="I51" s="188"/>
      <c r="J51" s="189"/>
      <c r="K51" s="165"/>
      <c r="L51" s="165"/>
      <c r="M51" s="165"/>
      <c r="N51" s="47"/>
      <c r="O51" s="77"/>
      <c r="P51" s="77"/>
      <c r="Q51" s="77"/>
      <c r="R51" s="77"/>
      <c r="S51" s="77"/>
      <c r="T51" s="77"/>
      <c r="U51" s="77"/>
      <c r="V51" s="77"/>
      <c r="W51" s="77"/>
    </row>
    <row r="52" spans="1:52" x14ac:dyDescent="0.25">
      <c r="A52" s="77"/>
      <c r="B52" s="77"/>
      <c r="C52" s="77"/>
      <c r="D52" s="77"/>
      <c r="E52" s="186"/>
      <c r="F52" s="77"/>
      <c r="G52" s="165"/>
      <c r="H52" s="165"/>
      <c r="I52" s="189"/>
      <c r="J52" s="190"/>
      <c r="K52" s="189"/>
      <c r="L52" s="165"/>
      <c r="M52" s="165"/>
      <c r="N52" s="51"/>
      <c r="O52" s="77"/>
      <c r="P52" s="77"/>
      <c r="Q52" s="77"/>
      <c r="R52" s="77"/>
      <c r="S52" s="77"/>
      <c r="T52" s="77"/>
      <c r="U52" s="77"/>
      <c r="V52" s="77"/>
      <c r="W52" s="77"/>
    </row>
    <row r="53" spans="1:52" x14ac:dyDescent="0.25">
      <c r="A53" s="77"/>
      <c r="B53" s="77"/>
      <c r="C53" s="77"/>
      <c r="D53" s="77"/>
      <c r="E53" s="186"/>
      <c r="F53" s="77"/>
      <c r="G53" s="165"/>
      <c r="H53" s="165"/>
      <c r="I53" s="189"/>
      <c r="J53" s="190"/>
      <c r="K53" s="189"/>
      <c r="L53" s="165"/>
      <c r="M53" s="165"/>
      <c r="N53" s="51"/>
      <c r="O53" s="77"/>
      <c r="P53" s="77"/>
      <c r="Q53" s="77"/>
      <c r="R53" s="77"/>
      <c r="S53" s="77"/>
      <c r="T53" s="77"/>
      <c r="U53" s="77"/>
      <c r="V53" s="77"/>
      <c r="W53" s="77"/>
    </row>
    <row r="54" spans="1:52" x14ac:dyDescent="0.25">
      <c r="A54" s="77"/>
      <c r="B54" s="77"/>
      <c r="C54" s="77"/>
      <c r="D54" s="77"/>
      <c r="E54" s="186"/>
      <c r="F54" s="77"/>
      <c r="G54" s="165"/>
      <c r="H54" s="165"/>
      <c r="I54" s="189"/>
      <c r="J54" s="189"/>
      <c r="K54" s="189"/>
      <c r="L54" s="188"/>
      <c r="M54" s="165"/>
      <c r="N54" s="52"/>
      <c r="O54" s="77"/>
      <c r="P54" s="77"/>
      <c r="Q54" s="77"/>
      <c r="R54" s="77"/>
      <c r="S54" s="77"/>
      <c r="T54" s="77"/>
      <c r="U54" s="77"/>
      <c r="V54" s="77"/>
      <c r="W54" s="77"/>
    </row>
    <row r="55" spans="1:52" x14ac:dyDescent="0.25">
      <c r="A55" s="77"/>
      <c r="B55" s="77"/>
      <c r="C55" s="77"/>
      <c r="D55" s="77"/>
      <c r="E55" s="186"/>
      <c r="F55" s="77"/>
      <c r="G55" s="165"/>
      <c r="H55" s="165"/>
      <c r="I55" s="189"/>
      <c r="J55" s="189"/>
      <c r="K55" s="189"/>
      <c r="L55" s="188"/>
      <c r="M55" s="165"/>
      <c r="N55" s="52"/>
      <c r="O55" s="77"/>
      <c r="P55" s="77"/>
      <c r="Q55" s="77"/>
      <c r="R55" s="77"/>
      <c r="S55" s="77"/>
      <c r="T55" s="77"/>
      <c r="U55" s="77"/>
      <c r="V55" s="77"/>
      <c r="W55" s="77"/>
    </row>
    <row r="56" spans="1:52" x14ac:dyDescent="0.25">
      <c r="A56" s="77"/>
      <c r="B56" s="77"/>
      <c r="C56" s="77"/>
      <c r="D56" s="77"/>
      <c r="E56" s="186"/>
      <c r="F56" s="77"/>
      <c r="G56" s="165"/>
      <c r="H56" s="165"/>
      <c r="I56" s="187"/>
      <c r="J56" s="165"/>
      <c r="K56" s="187"/>
      <c r="L56" s="165"/>
      <c r="M56" s="165"/>
      <c r="N56" s="49"/>
      <c r="O56" s="77"/>
      <c r="P56" s="77"/>
      <c r="Q56" s="77"/>
      <c r="R56" s="77"/>
      <c r="S56" s="77"/>
      <c r="T56" s="77"/>
      <c r="U56" s="77"/>
      <c r="V56" s="77"/>
      <c r="W56" s="77"/>
    </row>
    <row r="57" spans="1:52" x14ac:dyDescent="0.25">
      <c r="A57" s="77"/>
      <c r="B57" s="77"/>
      <c r="C57" s="77"/>
      <c r="D57" s="77"/>
      <c r="E57" s="186"/>
      <c r="F57" s="77"/>
      <c r="G57" s="165"/>
      <c r="H57" s="165"/>
      <c r="I57" s="187"/>
      <c r="J57" s="165"/>
      <c r="K57" s="187"/>
      <c r="L57" s="165"/>
      <c r="M57" s="165"/>
      <c r="N57" s="49"/>
      <c r="O57" s="77"/>
      <c r="P57" s="77"/>
      <c r="Q57" s="77"/>
      <c r="R57" s="77"/>
      <c r="S57" s="77"/>
      <c r="T57" s="77"/>
      <c r="U57" s="77"/>
      <c r="V57" s="77"/>
      <c r="W57" s="77"/>
    </row>
    <row r="58" spans="1:52" x14ac:dyDescent="0.25">
      <c r="A58" s="77"/>
      <c r="B58" s="77"/>
      <c r="C58" s="77"/>
      <c r="D58" s="77"/>
      <c r="E58" s="186"/>
      <c r="F58" s="77"/>
      <c r="G58" s="165"/>
      <c r="H58" s="165"/>
      <c r="I58" s="187"/>
      <c r="J58" s="187"/>
      <c r="K58" s="191"/>
      <c r="L58" s="165"/>
      <c r="M58" s="165"/>
      <c r="N58" s="47"/>
      <c r="O58" s="77"/>
      <c r="P58" s="77"/>
      <c r="Q58" s="77"/>
      <c r="R58" s="77"/>
      <c r="S58" s="77"/>
      <c r="T58" s="77"/>
      <c r="U58" s="77"/>
      <c r="V58" s="77"/>
      <c r="W58" s="77"/>
    </row>
    <row r="59" spans="1:52" x14ac:dyDescent="0.25">
      <c r="A59" s="77"/>
      <c r="B59" s="77"/>
      <c r="C59" s="77"/>
      <c r="D59" s="77"/>
      <c r="E59" s="186"/>
      <c r="F59" s="77"/>
      <c r="G59" s="165"/>
      <c r="H59" s="165"/>
      <c r="I59" s="187"/>
      <c r="J59" s="187"/>
      <c r="K59" s="191"/>
      <c r="L59" s="165"/>
      <c r="M59" s="165"/>
      <c r="N59" s="47"/>
      <c r="O59" s="77"/>
      <c r="P59" s="77"/>
      <c r="Q59" s="77"/>
      <c r="R59" s="77"/>
      <c r="S59" s="77"/>
      <c r="T59" s="77"/>
      <c r="U59" s="77"/>
      <c r="V59" s="77"/>
      <c r="W59" s="77"/>
    </row>
    <row r="60" spans="1:52" x14ac:dyDescent="0.25">
      <c r="A60" s="77"/>
      <c r="B60" s="77"/>
      <c r="C60" s="77"/>
      <c r="D60" s="77"/>
      <c r="E60" s="74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spans="1:52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spans="1:52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spans="1:52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</row>
    <row r="64" spans="1:52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</row>
    <row r="65" spans="1:20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</row>
  </sheetData>
  <mergeCells count="218">
    <mergeCell ref="E56:E57"/>
    <mergeCell ref="G56:G57"/>
    <mergeCell ref="E52:E53"/>
    <mergeCell ref="H56:H57"/>
    <mergeCell ref="I56:I57"/>
    <mergeCell ref="J56:J57"/>
    <mergeCell ref="M52:M53"/>
    <mergeCell ref="M54:M55"/>
    <mergeCell ref="L58:L59"/>
    <mergeCell ref="M58:M59"/>
    <mergeCell ref="L56:L57"/>
    <mergeCell ref="M56:M57"/>
    <mergeCell ref="E58:E59"/>
    <mergeCell ref="G58:G59"/>
    <mergeCell ref="H58:H59"/>
    <mergeCell ref="I58:I59"/>
    <mergeCell ref="J58:J59"/>
    <mergeCell ref="K58:K59"/>
    <mergeCell ref="L54:L55"/>
    <mergeCell ref="A7:A8"/>
    <mergeCell ref="C7:C8"/>
    <mergeCell ref="D7:D8"/>
    <mergeCell ref="E7:E8"/>
    <mergeCell ref="F7:F8"/>
    <mergeCell ref="G7:G8"/>
    <mergeCell ref="H7:H8"/>
    <mergeCell ref="I7:I8"/>
    <mergeCell ref="K56:K57"/>
    <mergeCell ref="E54:E55"/>
    <mergeCell ref="G54:G55"/>
    <mergeCell ref="H54:H55"/>
    <mergeCell ref="I54:I55"/>
    <mergeCell ref="J54:J55"/>
    <mergeCell ref="K54:K55"/>
    <mergeCell ref="K48:K49"/>
    <mergeCell ref="E46:E47"/>
    <mergeCell ref="G46:G47"/>
    <mergeCell ref="H46:H47"/>
    <mergeCell ref="I46:I47"/>
    <mergeCell ref="J46:J47"/>
    <mergeCell ref="K46:K47"/>
    <mergeCell ref="E38:E39"/>
    <mergeCell ref="G38:G39"/>
    <mergeCell ref="L48:L49"/>
    <mergeCell ref="G52:G53"/>
    <mergeCell ref="H52:H53"/>
    <mergeCell ref="I52:I53"/>
    <mergeCell ref="J52:J53"/>
    <mergeCell ref="K52:K53"/>
    <mergeCell ref="L52:L53"/>
    <mergeCell ref="M48:M49"/>
    <mergeCell ref="E50:E51"/>
    <mergeCell ref="G50:G51"/>
    <mergeCell ref="H50:H51"/>
    <mergeCell ref="I50:I51"/>
    <mergeCell ref="J50:J51"/>
    <mergeCell ref="K50:K51"/>
    <mergeCell ref="E48:E49"/>
    <mergeCell ref="G48:G49"/>
    <mergeCell ref="H48:H49"/>
    <mergeCell ref="I48:I49"/>
    <mergeCell ref="J48:J49"/>
    <mergeCell ref="L50:L51"/>
    <mergeCell ref="M50:M51"/>
    <mergeCell ref="L46:L47"/>
    <mergeCell ref="M46:M47"/>
    <mergeCell ref="L42:L43"/>
    <mergeCell ref="M42:M43"/>
    <mergeCell ref="E44:E45"/>
    <mergeCell ref="G44:G45"/>
    <mergeCell ref="H44:H45"/>
    <mergeCell ref="I44:I45"/>
    <mergeCell ref="J44:J45"/>
    <mergeCell ref="K44:K45"/>
    <mergeCell ref="L44:L45"/>
    <mergeCell ref="E42:E43"/>
    <mergeCell ref="G42:G43"/>
    <mergeCell ref="H42:H43"/>
    <mergeCell ref="J42:J43"/>
    <mergeCell ref="K42:K43"/>
    <mergeCell ref="M44:M45"/>
    <mergeCell ref="H38:H39"/>
    <mergeCell ref="J38:J39"/>
    <mergeCell ref="K38:K39"/>
    <mergeCell ref="L38:L39"/>
    <mergeCell ref="M38:M39"/>
    <mergeCell ref="E40:E41"/>
    <mergeCell ref="G40:G41"/>
    <mergeCell ref="H40:H41"/>
    <mergeCell ref="J40:J41"/>
    <mergeCell ref="K40:K41"/>
    <mergeCell ref="L40:L41"/>
    <mergeCell ref="M40:M41"/>
    <mergeCell ref="E36:E37"/>
    <mergeCell ref="G36:G37"/>
    <mergeCell ref="H36:H37"/>
    <mergeCell ref="I36:I37"/>
    <mergeCell ref="J36:J37"/>
    <mergeCell ref="K36:K37"/>
    <mergeCell ref="L36:L37"/>
    <mergeCell ref="M36:M37"/>
    <mergeCell ref="J23:J24"/>
    <mergeCell ref="J21:J22"/>
    <mergeCell ref="A19:A20"/>
    <mergeCell ref="C19:C20"/>
    <mergeCell ref="D19:D20"/>
    <mergeCell ref="E19:E20"/>
    <mergeCell ref="F19:F20"/>
    <mergeCell ref="G19:G20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A15:A16"/>
    <mergeCell ref="C15:C16"/>
    <mergeCell ref="D15:D16"/>
    <mergeCell ref="E15:E16"/>
    <mergeCell ref="F15:F16"/>
    <mergeCell ref="G15:G16"/>
    <mergeCell ref="H15:H16"/>
    <mergeCell ref="I15:I16"/>
    <mergeCell ref="A23:A24"/>
    <mergeCell ref="C23:C24"/>
    <mergeCell ref="D23:D24"/>
    <mergeCell ref="E23:E24"/>
    <mergeCell ref="F23:F24"/>
    <mergeCell ref="G23:G24"/>
    <mergeCell ref="H23:H24"/>
    <mergeCell ref="I23:I24"/>
    <mergeCell ref="A21:A22"/>
    <mergeCell ref="C21:C22"/>
    <mergeCell ref="D21:D22"/>
    <mergeCell ref="E21:E22"/>
    <mergeCell ref="F21:F22"/>
    <mergeCell ref="G21:G22"/>
    <mergeCell ref="H21:H22"/>
    <mergeCell ref="I21:I22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A13:A14"/>
    <mergeCell ref="C13:C14"/>
    <mergeCell ref="D13:D14"/>
    <mergeCell ref="E13:E14"/>
    <mergeCell ref="F13:F14"/>
    <mergeCell ref="A11:A12"/>
    <mergeCell ref="C11:C12"/>
    <mergeCell ref="D11:D12"/>
    <mergeCell ref="E11:E12"/>
    <mergeCell ref="F11:F12"/>
    <mergeCell ref="A3:A4"/>
    <mergeCell ref="C3:C4"/>
    <mergeCell ref="J9:J10"/>
    <mergeCell ref="AQ6:AQ9"/>
    <mergeCell ref="AR6:AR9"/>
    <mergeCell ref="A9:A10"/>
    <mergeCell ref="C9:C10"/>
    <mergeCell ref="D9:D10"/>
    <mergeCell ref="E9:E10"/>
    <mergeCell ref="F9:F10"/>
    <mergeCell ref="G9:G10"/>
    <mergeCell ref="H9:H10"/>
    <mergeCell ref="I9:I10"/>
    <mergeCell ref="AH6:AH9"/>
    <mergeCell ref="AJ6:AJ9"/>
    <mergeCell ref="AK6:AK9"/>
    <mergeCell ref="AN6:AN9"/>
    <mergeCell ref="AO6:AO9"/>
    <mergeCell ref="AP6:AP9"/>
    <mergeCell ref="J7:J8"/>
    <mergeCell ref="D3:D4"/>
    <mergeCell ref="E3:E4"/>
    <mergeCell ref="F3:F4"/>
    <mergeCell ref="AR4:AR5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AJ4:AJ5"/>
    <mergeCell ref="AK4:AK5"/>
    <mergeCell ref="AM4:AM5"/>
    <mergeCell ref="AO4:AO5"/>
    <mergeCell ref="AP4:AP5"/>
    <mergeCell ref="AQ4:AQ5"/>
    <mergeCell ref="G3:G4"/>
    <mergeCell ref="H3:H4"/>
    <mergeCell ref="I3:I4"/>
    <mergeCell ref="J3:J4"/>
    <mergeCell ref="AH4:AH5"/>
    <mergeCell ref="AI4:AI5"/>
    <mergeCell ref="G11:G12"/>
    <mergeCell ref="H11:H12"/>
    <mergeCell ref="I11:I12"/>
    <mergeCell ref="J11:J12"/>
    <mergeCell ref="G13:G14"/>
    <mergeCell ref="H13:H14"/>
    <mergeCell ref="I13:I14"/>
    <mergeCell ref="J13:J14"/>
    <mergeCell ref="H19:H20"/>
    <mergeCell ref="I19:I20"/>
    <mergeCell ref="J15:J16"/>
    <mergeCell ref="J19:J20"/>
  </mergeCells>
  <hyperlinks>
    <hyperlink ref="A3:A4" location="'День 1'!A1" display="1 день"/>
    <hyperlink ref="A5:A6" location="'День 2'!A1" display="2 день"/>
    <hyperlink ref="A9:A10" location="'День 4'!A1" display="4 день"/>
    <hyperlink ref="A11:A12" location="'День 5'!A1" display=" 5 день"/>
    <hyperlink ref="A13:A14" location="'День 6'!A1" display="6 день"/>
    <hyperlink ref="A17:A18" location="'День 8'!A1" display="8 день"/>
    <hyperlink ref="A19:A20" location="'День 9'!A1" display=" 9 день"/>
    <hyperlink ref="A23:A24" location="'День 11'!A1" display="11 день"/>
    <hyperlink ref="A25:A26" location="'День 12'!A1" display="12 день"/>
    <hyperlink ref="A21:A22" location="'День 10'!A1" display="10 день"/>
    <hyperlink ref="A15:A16" location="'День 7'!A1" display="7 день"/>
    <hyperlink ref="A7:A8" location="'День 3'!A1" display="3 день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Layout" zoomScaleNormal="110" workbookViewId="0">
      <selection activeCell="A38" sqref="A38:E62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6.42578125" customWidth="1"/>
    <col min="5" max="5" width="5.85546875" customWidth="1"/>
    <col min="6" max="6" width="8.140625" customWidth="1"/>
    <col min="7" max="7" width="7.42578125" customWidth="1"/>
    <col min="8" max="8" width="5.7109375" customWidth="1"/>
    <col min="9" max="9" width="6" customWidth="1"/>
    <col min="10" max="10" width="5.570312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269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209</v>
      </c>
      <c r="B6" s="20" t="s">
        <v>293</v>
      </c>
      <c r="C6" s="5">
        <v>150</v>
      </c>
      <c r="D6" s="9">
        <f>C6*18.6/100</f>
        <v>27.9</v>
      </c>
      <c r="E6" s="9">
        <f>C6*5.6/100</f>
        <v>8.4</v>
      </c>
      <c r="F6" s="9">
        <f>C6*18.2/100</f>
        <v>27.3</v>
      </c>
      <c r="G6" s="9">
        <f>F6*4+E6*9+D6*4</f>
        <v>296.39999999999998</v>
      </c>
      <c r="H6" s="22">
        <f>C6*0.08/100</f>
        <v>0.12</v>
      </c>
      <c r="I6" s="23">
        <f>C6*0.3/100</f>
        <v>0.45</v>
      </c>
      <c r="J6" s="22">
        <f>C6*0.01/100</f>
        <v>1.4999999999999999E-2</v>
      </c>
      <c r="K6" s="23">
        <f>C6*1/100</f>
        <v>1.5</v>
      </c>
      <c r="L6" s="23">
        <f>C6*132/100</f>
        <v>198</v>
      </c>
      <c r="M6" s="23">
        <f>C6*198/100</f>
        <v>297</v>
      </c>
      <c r="N6" s="23">
        <f>C6*30/100</f>
        <v>45</v>
      </c>
      <c r="O6" s="23">
        <f>C6*0.6/100</f>
        <v>0.9</v>
      </c>
      <c r="P6" s="6"/>
      <c r="Q6" s="4"/>
      <c r="R6" s="2"/>
    </row>
    <row r="7" spans="1:18" x14ac:dyDescent="0.25">
      <c r="A7" s="5" t="s">
        <v>256</v>
      </c>
      <c r="B7" s="8" t="s">
        <v>257</v>
      </c>
      <c r="C7" s="5">
        <v>40</v>
      </c>
      <c r="D7" s="5">
        <v>2.4500000000000002</v>
      </c>
      <c r="E7" s="9">
        <v>7.55</v>
      </c>
      <c r="F7" s="9">
        <v>14.62</v>
      </c>
      <c r="G7" s="9">
        <f>F7*4+E7*9+D7*4</f>
        <v>136.23000000000002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5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56</v>
      </c>
      <c r="B9" s="8" t="s">
        <v>55</v>
      </c>
      <c r="C9" s="5">
        <v>200</v>
      </c>
      <c r="D9" s="9">
        <v>2.7</v>
      </c>
      <c r="E9" s="9">
        <v>2.8</v>
      </c>
      <c r="F9" s="9">
        <v>22.4</v>
      </c>
      <c r="G9" s="9">
        <f>F9*4+E9*9+D9*4</f>
        <v>125.6</v>
      </c>
      <c r="H9" s="9">
        <v>0.22</v>
      </c>
      <c r="I9" s="9">
        <v>1.3</v>
      </c>
      <c r="J9" s="9">
        <v>0.02</v>
      </c>
      <c r="K9" s="10">
        <v>0</v>
      </c>
      <c r="L9" s="5">
        <v>125.78</v>
      </c>
      <c r="M9" s="9">
        <v>90</v>
      </c>
      <c r="N9" s="9">
        <v>14</v>
      </c>
      <c r="O9" s="9">
        <v>0.13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0">SUM(D6:D9)</f>
        <v>36.049999999999997</v>
      </c>
      <c r="E10" s="15">
        <f t="shared" si="0"/>
        <v>19.91</v>
      </c>
      <c r="F10" s="16">
        <f t="shared" si="0"/>
        <v>84.88</v>
      </c>
      <c r="G10" s="15">
        <f t="shared" si="0"/>
        <v>662.91</v>
      </c>
      <c r="H10" s="16">
        <f t="shared" si="0"/>
        <v>0.38400000000000001</v>
      </c>
      <c r="I10" s="16">
        <f t="shared" si="0"/>
        <v>1.75</v>
      </c>
      <c r="J10" s="16">
        <f t="shared" si="0"/>
        <v>3.5000000000000003E-2</v>
      </c>
      <c r="K10" s="15">
        <f t="shared" si="0"/>
        <v>2.1800000000000002</v>
      </c>
      <c r="L10" s="15">
        <f t="shared" si="0"/>
        <v>331.38</v>
      </c>
      <c r="M10" s="16">
        <f t="shared" si="0"/>
        <v>413</v>
      </c>
      <c r="N10" s="15">
        <f t="shared" si="0"/>
        <v>64.2</v>
      </c>
      <c r="O10" s="15">
        <f t="shared" si="0"/>
        <v>1.5099999999999998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/>
      <c r="B12" s="8" t="s">
        <v>62</v>
      </c>
      <c r="C12" s="5">
        <v>80</v>
      </c>
      <c r="D12" s="5">
        <f>C12*0.7/100</f>
        <v>0.56000000000000005</v>
      </c>
      <c r="E12" s="9">
        <f>C12*0.1/100</f>
        <v>0.08</v>
      </c>
      <c r="F12" s="5">
        <f>C12*1.9/100</f>
        <v>1.52</v>
      </c>
      <c r="G12" s="5">
        <f t="shared" ref="G12:G13" si="1">F12*4+E12*9+D12*4</f>
        <v>9.0399999999999991</v>
      </c>
      <c r="H12" s="5">
        <f>C12*0.03/100</f>
        <v>2.4E-2</v>
      </c>
      <c r="I12" s="9">
        <f>C12*7/100</f>
        <v>5.6</v>
      </c>
      <c r="J12" s="10">
        <v>0</v>
      </c>
      <c r="K12" s="9">
        <v>0.1</v>
      </c>
      <c r="L12" s="9">
        <f>C12*17/100</f>
        <v>13.6</v>
      </c>
      <c r="M12" s="9">
        <f>C12*30/100</f>
        <v>24</v>
      </c>
      <c r="N12" s="9">
        <f>C12*14/100</f>
        <v>11.2</v>
      </c>
      <c r="O12" s="9">
        <f>C12*0.5/100</f>
        <v>0.4</v>
      </c>
      <c r="P12" s="6"/>
      <c r="Q12" s="4"/>
      <c r="R12" s="2"/>
    </row>
    <row r="13" spans="1:18" x14ac:dyDescent="0.25">
      <c r="A13" s="5" t="s">
        <v>28</v>
      </c>
      <c r="B13" s="8" t="s">
        <v>29</v>
      </c>
      <c r="C13" s="5">
        <v>250</v>
      </c>
      <c r="D13" s="9">
        <v>2.8</v>
      </c>
      <c r="E13" s="9">
        <v>7.2</v>
      </c>
      <c r="F13" s="9">
        <v>13.9</v>
      </c>
      <c r="G13" s="9">
        <f t="shared" si="1"/>
        <v>131.6</v>
      </c>
      <c r="H13" s="5">
        <v>0.05</v>
      </c>
      <c r="I13" s="9">
        <v>10.8</v>
      </c>
      <c r="J13" s="10">
        <v>0</v>
      </c>
      <c r="K13" s="9">
        <v>0.8</v>
      </c>
      <c r="L13" s="9">
        <v>58</v>
      </c>
      <c r="M13" s="9">
        <v>200</v>
      </c>
      <c r="N13" s="9">
        <v>30</v>
      </c>
      <c r="O13" s="9">
        <v>1.3</v>
      </c>
      <c r="P13" s="6"/>
      <c r="Q13" s="4"/>
      <c r="R13" s="2"/>
    </row>
    <row r="14" spans="1:18" x14ac:dyDescent="0.25">
      <c r="A14" s="5" t="s">
        <v>211</v>
      </c>
      <c r="B14" s="20" t="s">
        <v>210</v>
      </c>
      <c r="C14" s="5">
        <v>210</v>
      </c>
      <c r="D14" s="9">
        <v>21.4</v>
      </c>
      <c r="E14" s="9">
        <v>19.600000000000001</v>
      </c>
      <c r="F14" s="9">
        <v>35.6</v>
      </c>
      <c r="G14" s="9">
        <f t="shared" ref="G14:G18" si="2">F14*4+E14*9+D14*4</f>
        <v>404.4</v>
      </c>
      <c r="H14" s="9">
        <f>C14*0.08/150</f>
        <v>0.112</v>
      </c>
      <c r="I14" s="5">
        <f>C14*4.52/150</f>
        <v>6.3279999999999994</v>
      </c>
      <c r="J14" s="9">
        <f>C14*0.015/150</f>
        <v>2.0999999999999998E-2</v>
      </c>
      <c r="K14" s="9">
        <f>C14*0.37/150</f>
        <v>0.51800000000000002</v>
      </c>
      <c r="L14" s="9">
        <f>C14*34.76/150</f>
        <v>48.663999999999994</v>
      </c>
      <c r="M14" s="9">
        <f>C14*131.5/150</f>
        <v>184.1</v>
      </c>
      <c r="N14" s="9">
        <f>C14*40.53/150</f>
        <v>56.742000000000004</v>
      </c>
      <c r="O14" s="9">
        <f>C14*1.48/150</f>
        <v>2.0720000000000001</v>
      </c>
      <c r="P14" s="6"/>
      <c r="Q14" s="4"/>
      <c r="R14" s="2"/>
    </row>
    <row r="15" spans="1:18" x14ac:dyDescent="0.25">
      <c r="A15" s="5"/>
      <c r="B15" s="8" t="s">
        <v>19</v>
      </c>
      <c r="C15" s="5">
        <v>50</v>
      </c>
      <c r="D15" s="5">
        <f>C15*7.7/100</f>
        <v>3.85</v>
      </c>
      <c r="E15" s="9">
        <f>C15*0.8/100</f>
        <v>0.4</v>
      </c>
      <c r="F15" s="5">
        <f>C15*49.5/100</f>
        <v>24.75</v>
      </c>
      <c r="G15" s="9">
        <f t="shared" si="2"/>
        <v>118</v>
      </c>
      <c r="H15" s="9">
        <f>C15*0.11/100</f>
        <v>5.5E-2</v>
      </c>
      <c r="I15" s="10">
        <v>0</v>
      </c>
      <c r="J15" s="10">
        <v>0</v>
      </c>
      <c r="K15" s="5">
        <f>C15*1.1/100</f>
        <v>0.55000000000000004</v>
      </c>
      <c r="L15" s="9">
        <f>C15*20/100</f>
        <v>10</v>
      </c>
      <c r="M15" s="9">
        <f>C15*65/100</f>
        <v>32.5</v>
      </c>
      <c r="N15" s="9">
        <f>C15*49/100</f>
        <v>24.5</v>
      </c>
      <c r="O15" s="5">
        <f>C15*1.1/100</f>
        <v>0.55000000000000004</v>
      </c>
      <c r="P15" s="6"/>
      <c r="Q15" s="4"/>
      <c r="R15" s="2"/>
    </row>
    <row r="16" spans="1:18" x14ac:dyDescent="0.25">
      <c r="A16" s="5"/>
      <c r="B16" s="8" t="s">
        <v>36</v>
      </c>
      <c r="C16" s="5">
        <v>40</v>
      </c>
      <c r="D16" s="5">
        <f>C16*6.6/100</f>
        <v>2.64</v>
      </c>
      <c r="E16" s="5">
        <f>C16*1.1/100</f>
        <v>0.44</v>
      </c>
      <c r="F16" s="5">
        <f>C16*43.9/100</f>
        <v>17.559999999999999</v>
      </c>
      <c r="G16" s="5">
        <f t="shared" si="2"/>
        <v>84.759999999999991</v>
      </c>
      <c r="H16" s="9">
        <f>C16*0.18/100</f>
        <v>7.1999999999999995E-2</v>
      </c>
      <c r="I16" s="10">
        <v>0</v>
      </c>
      <c r="J16" s="10">
        <v>0</v>
      </c>
      <c r="K16" s="5">
        <f>C16*1.4/100</f>
        <v>0.56000000000000005</v>
      </c>
      <c r="L16" s="9">
        <f>C16*35/100</f>
        <v>14</v>
      </c>
      <c r="M16" s="9">
        <f>C16*158/100</f>
        <v>63.2</v>
      </c>
      <c r="N16" s="9">
        <f>C16*47/100</f>
        <v>18.8</v>
      </c>
      <c r="O16" s="5">
        <f>C16*3.9/100</f>
        <v>1.56</v>
      </c>
      <c r="P16" s="6"/>
      <c r="Q16" s="4"/>
      <c r="R16" s="2"/>
    </row>
    <row r="17" spans="1:18" ht="25.5" x14ac:dyDescent="0.25">
      <c r="A17" s="5" t="s">
        <v>103</v>
      </c>
      <c r="B17" s="20" t="s">
        <v>102</v>
      </c>
      <c r="C17" s="5">
        <v>200</v>
      </c>
      <c r="D17" s="10">
        <v>0</v>
      </c>
      <c r="E17" s="10">
        <v>0</v>
      </c>
      <c r="F17" s="9">
        <v>38.4</v>
      </c>
      <c r="G17" s="9">
        <f>F17*4+E17*9+D17*4</f>
        <v>153.6</v>
      </c>
      <c r="H17" s="10">
        <v>0</v>
      </c>
      <c r="I17" s="10">
        <v>0</v>
      </c>
      <c r="J17" s="10">
        <v>0</v>
      </c>
      <c r="K17" s="10">
        <v>0</v>
      </c>
      <c r="L17" s="9">
        <f>C17*4.65/100</f>
        <v>9.3000000000000007</v>
      </c>
      <c r="M17" s="9">
        <f>C17*4.42/100</f>
        <v>8.84</v>
      </c>
      <c r="N17" s="10">
        <v>0</v>
      </c>
      <c r="O17" s="5">
        <f>C17*0.03/100</f>
        <v>0.06</v>
      </c>
      <c r="P17" s="6"/>
      <c r="Q17" s="4"/>
      <c r="R17" s="2"/>
    </row>
    <row r="18" spans="1:18" x14ac:dyDescent="0.25">
      <c r="A18" s="5"/>
      <c r="B18" s="8" t="s">
        <v>124</v>
      </c>
      <c r="C18" s="5">
        <v>100</v>
      </c>
      <c r="D18" s="9">
        <v>0.9</v>
      </c>
      <c r="E18" s="9">
        <v>0.2</v>
      </c>
      <c r="F18" s="9">
        <v>9.5</v>
      </c>
      <c r="G18" s="9">
        <f t="shared" si="2"/>
        <v>43.4</v>
      </c>
      <c r="H18" s="5">
        <v>0.04</v>
      </c>
      <c r="I18" s="9">
        <v>60</v>
      </c>
      <c r="J18" s="10">
        <v>0</v>
      </c>
      <c r="K18" s="9">
        <v>0.2</v>
      </c>
      <c r="L18" s="9">
        <v>34</v>
      </c>
      <c r="M18" s="9">
        <v>23</v>
      </c>
      <c r="N18" s="9">
        <v>13</v>
      </c>
      <c r="O18" s="9">
        <v>0.3</v>
      </c>
      <c r="P18" s="6"/>
      <c r="Q18" s="4"/>
      <c r="R18" s="2"/>
    </row>
    <row r="19" spans="1:18" x14ac:dyDescent="0.25">
      <c r="A19" s="205" t="s">
        <v>59</v>
      </c>
      <c r="B19" s="207"/>
      <c r="C19" s="5"/>
      <c r="D19" s="16">
        <f t="shared" ref="D19:O19" si="3">SUM(D12:D18)</f>
        <v>32.15</v>
      </c>
      <c r="E19" s="16">
        <f t="shared" si="3"/>
        <v>27.92</v>
      </c>
      <c r="F19" s="16">
        <f t="shared" si="3"/>
        <v>141.23000000000002</v>
      </c>
      <c r="G19" s="16">
        <f t="shared" si="3"/>
        <v>944.8</v>
      </c>
      <c r="H19" s="15">
        <f t="shared" si="3"/>
        <v>0.35299999999999998</v>
      </c>
      <c r="I19" s="16">
        <f t="shared" si="3"/>
        <v>82.727999999999994</v>
      </c>
      <c r="J19" s="16">
        <f t="shared" si="3"/>
        <v>2.0999999999999998E-2</v>
      </c>
      <c r="K19" s="16">
        <f t="shared" si="3"/>
        <v>2.7280000000000006</v>
      </c>
      <c r="L19" s="16">
        <f t="shared" si="3"/>
        <v>187.56399999999999</v>
      </c>
      <c r="M19" s="16">
        <f t="shared" si="3"/>
        <v>535.64</v>
      </c>
      <c r="N19" s="16">
        <f t="shared" si="3"/>
        <v>154.24200000000002</v>
      </c>
      <c r="O19" s="16">
        <f t="shared" si="3"/>
        <v>6.2419999999999991</v>
      </c>
      <c r="P19" s="6"/>
      <c r="Q19" s="4"/>
      <c r="R19" s="2"/>
    </row>
    <row r="20" spans="1:18" x14ac:dyDescent="0.25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6"/>
      <c r="Q20" s="4"/>
      <c r="R20" s="2"/>
    </row>
    <row r="21" spans="1:18" x14ac:dyDescent="0.25">
      <c r="A21" s="205" t="s">
        <v>57</v>
      </c>
      <c r="B21" s="207"/>
      <c r="C21" s="5"/>
      <c r="D21" s="16">
        <f t="shared" ref="D21:O21" si="4">D10+D19</f>
        <v>68.199999999999989</v>
      </c>
      <c r="E21" s="16">
        <f t="shared" si="4"/>
        <v>47.83</v>
      </c>
      <c r="F21" s="16">
        <f t="shared" si="4"/>
        <v>226.11</v>
      </c>
      <c r="G21" s="16">
        <f t="shared" si="4"/>
        <v>1607.71</v>
      </c>
      <c r="H21" s="16">
        <f t="shared" si="4"/>
        <v>0.73699999999999999</v>
      </c>
      <c r="I21" s="16">
        <f t="shared" si="4"/>
        <v>84.477999999999994</v>
      </c>
      <c r="J21" s="16">
        <f t="shared" si="4"/>
        <v>5.6000000000000001E-2</v>
      </c>
      <c r="K21" s="16">
        <f t="shared" si="4"/>
        <v>4.9080000000000013</v>
      </c>
      <c r="L21" s="16">
        <f t="shared" si="4"/>
        <v>518.94399999999996</v>
      </c>
      <c r="M21" s="16">
        <f t="shared" si="4"/>
        <v>948.64</v>
      </c>
      <c r="N21" s="16">
        <f t="shared" si="4"/>
        <v>218.44200000000001</v>
      </c>
      <c r="O21" s="16">
        <f t="shared" si="4"/>
        <v>7.7519999999999989</v>
      </c>
      <c r="P21" s="6"/>
      <c r="Q21" s="4"/>
      <c r="R21" s="2"/>
    </row>
    <row r="22" spans="1:18" x14ac:dyDescent="0.25">
      <c r="A22" s="205" t="s">
        <v>39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7"/>
      <c r="P22" s="6"/>
      <c r="Q22" s="4"/>
      <c r="R22" s="2"/>
    </row>
    <row r="23" spans="1:18" x14ac:dyDescent="0.25">
      <c r="A23" s="5" t="s">
        <v>213</v>
      </c>
      <c r="B23" s="8" t="s">
        <v>212</v>
      </c>
      <c r="C23" s="5">
        <v>80</v>
      </c>
      <c r="D23" s="5">
        <f>C23*3.95/50</f>
        <v>6.32</v>
      </c>
      <c r="E23" s="9">
        <f>C23*3.06/50</f>
        <v>4.8959999999999999</v>
      </c>
      <c r="F23" s="9">
        <f>C23*26.93/50</f>
        <v>43.088000000000001</v>
      </c>
      <c r="G23" s="9">
        <f>F23*4+E23*9+D23*4</f>
        <v>241.696</v>
      </c>
      <c r="H23" s="9">
        <f>C23*0.08/100</f>
        <v>6.4000000000000001E-2</v>
      </c>
      <c r="I23" s="10">
        <v>0</v>
      </c>
      <c r="J23" s="36">
        <f>C23*0.018/100</f>
        <v>1.44E-2</v>
      </c>
      <c r="K23" s="9">
        <f>C23*4/100</f>
        <v>3.2</v>
      </c>
      <c r="L23" s="9">
        <f>C23*31/100</f>
        <v>24.8</v>
      </c>
      <c r="M23" s="9">
        <f>C23*89/100</f>
        <v>71.2</v>
      </c>
      <c r="N23" s="9">
        <f>C23*13/100</f>
        <v>10.4</v>
      </c>
      <c r="O23" s="5">
        <f>C23*1.3/100</f>
        <v>1.04</v>
      </c>
      <c r="P23" s="6"/>
      <c r="Q23" s="4"/>
      <c r="R23" s="2"/>
    </row>
    <row r="24" spans="1:18" x14ac:dyDescent="0.25">
      <c r="A24" s="5"/>
      <c r="B24" s="8" t="s">
        <v>75</v>
      </c>
      <c r="C24" s="5">
        <v>200</v>
      </c>
      <c r="D24" s="9">
        <v>0.2</v>
      </c>
      <c r="E24" s="10">
        <v>0</v>
      </c>
      <c r="F24" s="9">
        <v>14</v>
      </c>
      <c r="G24" s="9">
        <f>F24*4+E24*9+D24*4</f>
        <v>56.8</v>
      </c>
      <c r="H24" s="10">
        <v>0</v>
      </c>
      <c r="I24" s="10">
        <v>0</v>
      </c>
      <c r="J24" s="10">
        <v>0</v>
      </c>
      <c r="K24" s="10">
        <v>0</v>
      </c>
      <c r="L24" s="9">
        <v>12</v>
      </c>
      <c r="M24" s="9">
        <v>4</v>
      </c>
      <c r="N24" s="9">
        <v>6</v>
      </c>
      <c r="O24" s="9">
        <v>0.4</v>
      </c>
      <c r="P24" s="6"/>
      <c r="Q24" s="4"/>
      <c r="R24" s="2"/>
    </row>
    <row r="25" spans="1:18" x14ac:dyDescent="0.25">
      <c r="A25" s="125"/>
      <c r="B25" s="126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6"/>
      <c r="Q25" s="4"/>
      <c r="R25" s="2"/>
    </row>
    <row r="26" spans="1:18" x14ac:dyDescent="0.25">
      <c r="A26" s="127"/>
      <c r="B26" s="128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6"/>
      <c r="Q26" s="4"/>
      <c r="R26" s="2"/>
    </row>
    <row r="27" spans="1:18" x14ac:dyDescent="0.25">
      <c r="A27" s="6"/>
      <c r="B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4"/>
      <c r="R27" s="2"/>
    </row>
    <row r="28" spans="1:18" x14ac:dyDescent="0.25">
      <c r="A28" s="6"/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11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11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112"/>
    </row>
    <row r="37" spans="1:18" x14ac:dyDescent="0.25">
      <c r="A37" s="6"/>
      <c r="B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78"/>
      <c r="C38" s="60"/>
      <c r="D38" s="60"/>
      <c r="E38" s="6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 t="s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6"/>
      <c r="B50" s="150"/>
      <c r="C50" s="149"/>
      <c r="D50" s="149"/>
      <c r="E50" s="14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  <c r="R50" s="2"/>
    </row>
    <row r="51" spans="1:18" x14ac:dyDescent="0.25">
      <c r="A51" s="149"/>
      <c r="B51" s="150"/>
      <c r="C51" s="150"/>
      <c r="D51" s="150"/>
      <c r="E51" s="150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2"/>
      <c r="R51" s="2"/>
    </row>
    <row r="52" spans="1:18" x14ac:dyDescent="0.25">
      <c r="A52" s="150"/>
      <c r="B52" s="150"/>
      <c r="C52" s="150"/>
      <c r="D52" s="150"/>
      <c r="E52" s="150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8" x14ac:dyDescent="0.25">
      <c r="A53" s="150"/>
      <c r="B53" s="150"/>
      <c r="C53" s="150"/>
      <c r="D53" s="150"/>
      <c r="E53" s="150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8" x14ac:dyDescent="0.25">
      <c r="A55" s="150"/>
      <c r="B55" s="150"/>
      <c r="C55" s="150"/>
      <c r="D55" s="150"/>
      <c r="E55" s="150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8" x14ac:dyDescent="0.25">
      <c r="A56" s="150"/>
      <c r="B56" s="150"/>
      <c r="C56" s="150"/>
      <c r="D56" s="150"/>
      <c r="E56" s="150"/>
    </row>
    <row r="57" spans="1:18" x14ac:dyDescent="0.25">
      <c r="A57" s="150"/>
      <c r="B57" s="150"/>
      <c r="C57" s="150"/>
      <c r="D57" s="150"/>
      <c r="E57" s="150"/>
    </row>
    <row r="58" spans="1:18" x14ac:dyDescent="0.25">
      <c r="A58" s="150"/>
      <c r="B58" s="150"/>
      <c r="C58" s="150"/>
      <c r="D58" s="150"/>
      <c r="E58" s="150"/>
    </row>
    <row r="59" spans="1:18" x14ac:dyDescent="0.25">
      <c r="A59" s="150"/>
      <c r="B59" s="150"/>
      <c r="C59" s="150"/>
      <c r="D59" s="150"/>
      <c r="E59" s="150"/>
    </row>
    <row r="60" spans="1:18" x14ac:dyDescent="0.25">
      <c r="A60" s="150"/>
      <c r="B60" s="150"/>
      <c r="C60" s="150"/>
      <c r="D60" s="150"/>
      <c r="E60" s="150"/>
    </row>
    <row r="61" spans="1:18" x14ac:dyDescent="0.25">
      <c r="A61" s="150"/>
      <c r="B61" s="150"/>
      <c r="C61" s="150"/>
      <c r="D61" s="150"/>
      <c r="E61" s="150"/>
    </row>
    <row r="62" spans="1:18" x14ac:dyDescent="0.25">
      <c r="A62" s="150"/>
      <c r="B62" s="150"/>
      <c r="C62" s="150"/>
      <c r="D62" s="150"/>
      <c r="E62" s="150"/>
    </row>
  </sheetData>
  <mergeCells count="17">
    <mergeCell ref="A22:O22"/>
    <mergeCell ref="L3:O3"/>
    <mergeCell ref="A10:B10"/>
    <mergeCell ref="A11:O11"/>
    <mergeCell ref="A19:B19"/>
    <mergeCell ref="A20:O20"/>
    <mergeCell ref="A21:B21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</mergeCells>
  <pageMargins left="0.7" right="0.7" top="0.75" bottom="0.75" header="0.3" footer="0.3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view="pageLayout" zoomScaleNormal="110" workbookViewId="0">
      <selection activeCell="A38" sqref="A38:E63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7109375" customWidth="1"/>
    <col min="8" max="8" width="5.7109375" customWidth="1"/>
    <col min="9" max="9" width="6" customWidth="1"/>
    <col min="10" max="10" width="5.85546875" customWidth="1"/>
    <col min="11" max="11" width="6" customWidth="1"/>
    <col min="12" max="12" width="7.285156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272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215</v>
      </c>
      <c r="B6" s="20" t="s">
        <v>214</v>
      </c>
      <c r="C6" s="5">
        <v>180</v>
      </c>
      <c r="D6" s="9">
        <f>C6*3/100</f>
        <v>5.4</v>
      </c>
      <c r="E6" s="5">
        <f>C6*4.7/100</f>
        <v>8.4600000000000009</v>
      </c>
      <c r="F6" s="9">
        <f>C6*15.5/100</f>
        <v>27.9</v>
      </c>
      <c r="G6" s="5">
        <f>F6*4+E6*9+D6*4</f>
        <v>209.34</v>
      </c>
      <c r="H6" s="5">
        <f>C6*0.08/100</f>
        <v>0.14400000000000002</v>
      </c>
      <c r="I6" s="10">
        <v>0</v>
      </c>
      <c r="J6" s="10">
        <v>0</v>
      </c>
      <c r="K6" s="5">
        <f>C6*0.9/100</f>
        <v>1.62</v>
      </c>
      <c r="L6" s="9">
        <f>C6*12/100</f>
        <v>21.6</v>
      </c>
      <c r="M6" s="9">
        <f>C6*72/100</f>
        <v>129.6</v>
      </c>
      <c r="N6" s="9">
        <f>C6*49/100</f>
        <v>88.2</v>
      </c>
      <c r="O6" s="5">
        <f>C6*1.6/100</f>
        <v>2.88</v>
      </c>
      <c r="P6" s="6"/>
      <c r="Q6" s="4"/>
      <c r="R6" s="2"/>
    </row>
    <row r="7" spans="1:18" ht="25.5" x14ac:dyDescent="0.25">
      <c r="A7" s="82" t="s">
        <v>259</v>
      </c>
      <c r="B7" s="20" t="s">
        <v>258</v>
      </c>
      <c r="C7" s="82">
        <v>55</v>
      </c>
      <c r="D7" s="82">
        <v>2.4900000000000002</v>
      </c>
      <c r="E7" s="83">
        <v>3.93</v>
      </c>
      <c r="F7" s="83">
        <v>27.56</v>
      </c>
      <c r="G7" s="83">
        <f>F7*4+E7*9+D7*4</f>
        <v>155.57000000000002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5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84</v>
      </c>
      <c r="B9" s="8" t="s">
        <v>74</v>
      </c>
      <c r="C9" s="5">
        <v>200</v>
      </c>
      <c r="D9" s="9">
        <v>4.9000000000000004</v>
      </c>
      <c r="E9" s="9">
        <v>5</v>
      </c>
      <c r="F9" s="9">
        <v>32.5</v>
      </c>
      <c r="G9" s="9">
        <f>F9*4+E9*9+D9*4</f>
        <v>194.6</v>
      </c>
      <c r="H9" s="5">
        <v>0.06</v>
      </c>
      <c r="I9" s="5">
        <v>0.54</v>
      </c>
      <c r="J9" s="5">
        <v>0.04</v>
      </c>
      <c r="K9" s="9">
        <v>0.4</v>
      </c>
      <c r="L9" s="9">
        <v>172.2</v>
      </c>
      <c r="M9" s="9">
        <v>178.4</v>
      </c>
      <c r="N9" s="9">
        <v>24.8</v>
      </c>
      <c r="O9" s="9">
        <v>1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0">SUM(D6:D9)</f>
        <v>15.790000000000001</v>
      </c>
      <c r="E10" s="16">
        <f t="shared" si="0"/>
        <v>18.55</v>
      </c>
      <c r="F10" s="16">
        <f t="shared" si="0"/>
        <v>108.52</v>
      </c>
      <c r="G10" s="16">
        <f t="shared" si="0"/>
        <v>664.19</v>
      </c>
      <c r="H10" s="16">
        <f t="shared" si="0"/>
        <v>0.24800000000000003</v>
      </c>
      <c r="I10" s="15">
        <f t="shared" si="0"/>
        <v>0.54</v>
      </c>
      <c r="J10" s="15">
        <f t="shared" si="0"/>
        <v>0.04</v>
      </c>
      <c r="K10" s="16">
        <f t="shared" si="0"/>
        <v>2.7</v>
      </c>
      <c r="L10" s="16">
        <f t="shared" si="0"/>
        <v>201.39999999999998</v>
      </c>
      <c r="M10" s="16">
        <f t="shared" si="0"/>
        <v>334</v>
      </c>
      <c r="N10" s="16">
        <f t="shared" si="0"/>
        <v>118.2</v>
      </c>
      <c r="O10" s="16">
        <f t="shared" si="0"/>
        <v>4.3599999999999994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/>
      <c r="B12" s="8" t="s">
        <v>88</v>
      </c>
      <c r="C12" s="5">
        <v>80</v>
      </c>
      <c r="D12" s="5">
        <f>C12*1.1/100</f>
        <v>0.88</v>
      </c>
      <c r="E12" s="9">
        <f>C12*0.2/100</f>
        <v>0.16</v>
      </c>
      <c r="F12" s="5">
        <f>C12*3.8/100</f>
        <v>3.04</v>
      </c>
      <c r="G12" s="5">
        <f>F12*4+E12*9+D12*4</f>
        <v>17.12</v>
      </c>
      <c r="H12" s="9">
        <f>C12*0.06/100</f>
        <v>4.8000000000000001E-2</v>
      </c>
      <c r="I12" s="9">
        <f>C12*25/100</f>
        <v>20</v>
      </c>
      <c r="J12" s="10">
        <v>0</v>
      </c>
      <c r="K12" s="9">
        <f>C12*0.7/100</f>
        <v>0.56000000000000005</v>
      </c>
      <c r="L12" s="9">
        <f>C12*14/100</f>
        <v>11.2</v>
      </c>
      <c r="M12" s="9">
        <f>C12*26/100</f>
        <v>20.8</v>
      </c>
      <c r="N12" s="9">
        <f>C12*20/100</f>
        <v>16</v>
      </c>
      <c r="O12" s="9">
        <f>C12*0.9/100</f>
        <v>0.72</v>
      </c>
      <c r="P12" s="6"/>
      <c r="Q12" s="4"/>
      <c r="R12" s="2"/>
    </row>
    <row r="13" spans="1:18" x14ac:dyDescent="0.25">
      <c r="A13" s="5" t="s">
        <v>282</v>
      </c>
      <c r="B13" s="20" t="s">
        <v>280</v>
      </c>
      <c r="C13" s="5">
        <v>250</v>
      </c>
      <c r="D13" s="9">
        <f>C13*0.84/100</f>
        <v>2.1</v>
      </c>
      <c r="E13" s="9">
        <f>C13*1.34/100</f>
        <v>3.35</v>
      </c>
      <c r="F13" s="9">
        <f>C13*4.85/100</f>
        <v>12.125</v>
      </c>
      <c r="G13" s="9">
        <f>F13*4+E13*9+D13*4</f>
        <v>87.050000000000011</v>
      </c>
      <c r="H13" s="10">
        <v>0</v>
      </c>
      <c r="I13" s="9">
        <f>C13*0.74/100</f>
        <v>1.85</v>
      </c>
      <c r="J13" s="5">
        <f>C13*0.46/100</f>
        <v>1.1499999999999999</v>
      </c>
      <c r="K13" s="9">
        <f>C13*0.04/100</f>
        <v>0.1</v>
      </c>
      <c r="L13" s="9">
        <f>C13*33/100</f>
        <v>82.5</v>
      </c>
      <c r="M13" s="9">
        <f>C13*5.65/100</f>
        <v>14.125</v>
      </c>
      <c r="N13" s="9">
        <f>C13*2.86/100</f>
        <v>7.15</v>
      </c>
      <c r="O13" s="9">
        <f>C13*0.31/100</f>
        <v>0.77500000000000002</v>
      </c>
      <c r="P13" s="6"/>
      <c r="Q13" s="4"/>
      <c r="R13" s="121"/>
    </row>
    <row r="14" spans="1:18" x14ac:dyDescent="0.25">
      <c r="A14" s="5" t="s">
        <v>31</v>
      </c>
      <c r="B14" s="8" t="s">
        <v>30</v>
      </c>
      <c r="C14" s="22">
        <v>180</v>
      </c>
      <c r="D14" s="9">
        <f>C14*2.1/100</f>
        <v>3.78</v>
      </c>
      <c r="E14" s="9">
        <f>C14*4.5/100</f>
        <v>8.1</v>
      </c>
      <c r="F14" s="9">
        <f>C14*14.6/100</f>
        <v>26.28</v>
      </c>
      <c r="G14" s="9">
        <f>F14*4+E14*9+D14*4</f>
        <v>193.14</v>
      </c>
      <c r="H14" s="5">
        <f>C14*0.1/100</f>
        <v>0.18</v>
      </c>
      <c r="I14" s="5">
        <f>C14*3.7/100</f>
        <v>6.66</v>
      </c>
      <c r="J14" s="9">
        <v>0.04</v>
      </c>
      <c r="K14" s="5">
        <f>C14*0.1/100</f>
        <v>0.18</v>
      </c>
      <c r="L14" s="9">
        <f>C14*27/100</f>
        <v>48.6</v>
      </c>
      <c r="M14" s="9">
        <f>C14*56/100</f>
        <v>100.8</v>
      </c>
      <c r="N14" s="9">
        <f>C14*20/100</f>
        <v>36</v>
      </c>
      <c r="O14" s="9">
        <f>C14*0.7/100</f>
        <v>1.2599999999999998</v>
      </c>
      <c r="P14" s="6"/>
      <c r="Q14" s="4"/>
      <c r="R14" s="2"/>
    </row>
    <row r="15" spans="1:18" x14ac:dyDescent="0.25">
      <c r="A15" s="5" t="s">
        <v>219</v>
      </c>
      <c r="B15" s="8" t="s">
        <v>217</v>
      </c>
      <c r="C15" s="5">
        <v>80</v>
      </c>
      <c r="D15" s="5">
        <f>C15*21.3/100</f>
        <v>17.04</v>
      </c>
      <c r="E15" s="5">
        <f>C15*23.1/100</f>
        <v>18.48</v>
      </c>
      <c r="F15" s="9">
        <f>C15*5.7/100</f>
        <v>4.5599999999999996</v>
      </c>
      <c r="G15" s="5">
        <f>F15*4+E15*9+D15*4</f>
        <v>252.72</v>
      </c>
      <c r="H15" s="23">
        <f>C15*0.09/100</f>
        <v>7.1999999999999995E-2</v>
      </c>
      <c r="I15" s="23">
        <f>C15*4.7/100</f>
        <v>3.76</v>
      </c>
      <c r="J15" s="23">
        <f>C15*0.01/100</f>
        <v>8.0000000000000002E-3</v>
      </c>
      <c r="K15" s="23">
        <f>C15*0.8/100</f>
        <v>0.64</v>
      </c>
      <c r="L15" s="23">
        <f>C15*31/100</f>
        <v>24.8</v>
      </c>
      <c r="M15" s="23">
        <f>C15*126/100</f>
        <v>100.8</v>
      </c>
      <c r="N15" s="23">
        <f>C15*26/100</f>
        <v>20.8</v>
      </c>
      <c r="O15" s="23">
        <f>C15*1.5/100</f>
        <v>1.2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ref="G16" si="1">F16*4+E16*9+D16*4</f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11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>F17*4+E17*9+D17*4</f>
        <v>118</v>
      </c>
      <c r="H17" s="5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>F18*4+E18*9+D18*4</f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85</v>
      </c>
      <c r="B19" s="8" t="s">
        <v>37</v>
      </c>
      <c r="C19" s="5">
        <v>200</v>
      </c>
      <c r="D19" s="9">
        <v>0.6</v>
      </c>
      <c r="E19" s="10">
        <v>0</v>
      </c>
      <c r="F19" s="9">
        <v>31.4</v>
      </c>
      <c r="G19" s="9">
        <f>F19*4+E19*9+D19*4</f>
        <v>128</v>
      </c>
      <c r="H19" s="5">
        <v>0.02</v>
      </c>
      <c r="I19" s="5">
        <v>0.73</v>
      </c>
      <c r="J19" s="10">
        <v>0</v>
      </c>
      <c r="K19" s="5">
        <v>0.51</v>
      </c>
      <c r="L19" s="5">
        <v>32.479999999999997</v>
      </c>
      <c r="M19" s="5">
        <v>23.44</v>
      </c>
      <c r="N19" s="5">
        <v>17.46</v>
      </c>
      <c r="O19" s="9">
        <v>0.7</v>
      </c>
      <c r="P19" s="6"/>
      <c r="Q19" s="4"/>
      <c r="R19" s="2"/>
    </row>
    <row r="20" spans="1:18" x14ac:dyDescent="0.25">
      <c r="A20" s="5"/>
      <c r="B20" s="8" t="s">
        <v>38</v>
      </c>
      <c r="C20" s="5">
        <v>100</v>
      </c>
      <c r="D20" s="9">
        <v>0.4</v>
      </c>
      <c r="E20" s="9">
        <v>0.4</v>
      </c>
      <c r="F20" s="9">
        <v>9.8000000000000007</v>
      </c>
      <c r="G20" s="9">
        <f>F20*4+E20*9+D20*4</f>
        <v>44.400000000000006</v>
      </c>
      <c r="H20" s="5">
        <v>0.03</v>
      </c>
      <c r="I20" s="9">
        <v>10</v>
      </c>
      <c r="J20" s="10">
        <v>0</v>
      </c>
      <c r="K20" s="9">
        <v>0.2</v>
      </c>
      <c r="L20" s="9">
        <v>16</v>
      </c>
      <c r="M20" s="9">
        <v>11</v>
      </c>
      <c r="N20" s="9">
        <v>9</v>
      </c>
      <c r="O20" s="9">
        <v>2.2000000000000002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6">
        <f t="shared" ref="D21:O21" si="2">SUM(D12:D20)</f>
        <v>32.07</v>
      </c>
      <c r="E21" s="16">
        <f t="shared" si="2"/>
        <v>34.209999999999994</v>
      </c>
      <c r="F21" s="15">
        <f t="shared" si="2"/>
        <v>132.33500000000001</v>
      </c>
      <c r="G21" s="16">
        <f t="shared" si="2"/>
        <v>965.50999999999988</v>
      </c>
      <c r="H21" s="16">
        <f t="shared" si="2"/>
        <v>0.47699999999999998</v>
      </c>
      <c r="I21" s="16">
        <f t="shared" si="2"/>
        <v>43.39</v>
      </c>
      <c r="J21" s="16">
        <f t="shared" si="2"/>
        <v>1.198</v>
      </c>
      <c r="K21" s="16">
        <f t="shared" si="2"/>
        <v>3.3000000000000007</v>
      </c>
      <c r="L21" s="16">
        <f t="shared" si="2"/>
        <v>239.59</v>
      </c>
      <c r="M21" s="16">
        <f t="shared" si="2"/>
        <v>366.66499999999996</v>
      </c>
      <c r="N21" s="16">
        <f t="shared" si="2"/>
        <v>149.71</v>
      </c>
      <c r="O21" s="16">
        <f t="shared" si="2"/>
        <v>9.0649999999999995</v>
      </c>
      <c r="P21" s="6"/>
      <c r="Q21" s="4"/>
      <c r="R21" s="2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3">D10+D21</f>
        <v>47.86</v>
      </c>
      <c r="E23" s="16">
        <f t="shared" si="3"/>
        <v>52.759999999999991</v>
      </c>
      <c r="F23" s="16">
        <f t="shared" si="3"/>
        <v>240.85500000000002</v>
      </c>
      <c r="G23" s="16">
        <f t="shared" si="3"/>
        <v>1629.6999999999998</v>
      </c>
      <c r="H23" s="16">
        <f t="shared" si="3"/>
        <v>0.72499999999999998</v>
      </c>
      <c r="I23" s="16">
        <f t="shared" si="3"/>
        <v>43.93</v>
      </c>
      <c r="J23" s="16">
        <f t="shared" si="3"/>
        <v>1.238</v>
      </c>
      <c r="K23" s="16">
        <f t="shared" si="3"/>
        <v>6.0000000000000009</v>
      </c>
      <c r="L23" s="16">
        <f t="shared" si="3"/>
        <v>440.99</v>
      </c>
      <c r="M23" s="16">
        <f t="shared" si="3"/>
        <v>700.66499999999996</v>
      </c>
      <c r="N23" s="15">
        <f t="shared" si="3"/>
        <v>267.91000000000003</v>
      </c>
      <c r="O23" s="16">
        <f t="shared" si="3"/>
        <v>13.424999999999999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222</v>
      </c>
      <c r="B25" s="8" t="s">
        <v>221</v>
      </c>
      <c r="C25" s="5">
        <v>80</v>
      </c>
      <c r="D25" s="9">
        <f>C25*2.23/35</f>
        <v>5.097142857142857</v>
      </c>
      <c r="E25" s="9">
        <f>C25*1.49/35</f>
        <v>3.4057142857142857</v>
      </c>
      <c r="F25" s="9">
        <f>C25*22.06/35</f>
        <v>50.42285714285714</v>
      </c>
      <c r="G25" s="9">
        <f>F25*4+E25*9+D25*4</f>
        <v>252.73142857142855</v>
      </c>
      <c r="H25" s="9">
        <f>C25*0.08/100</f>
        <v>6.4000000000000001E-2</v>
      </c>
      <c r="I25" s="10">
        <v>0</v>
      </c>
      <c r="J25" s="9">
        <f>C25*0.03/100</f>
        <v>2.4E-2</v>
      </c>
      <c r="K25" s="5">
        <f>C25*1.2/100</f>
        <v>0.96</v>
      </c>
      <c r="L25" s="9">
        <f>C25*65/100</f>
        <v>52</v>
      </c>
      <c r="M25" s="9">
        <f>C25*112/100</f>
        <v>89.6</v>
      </c>
      <c r="N25" s="9">
        <f>C25*16/100</f>
        <v>12.8</v>
      </c>
      <c r="O25" s="5">
        <f>C25*0.8/100</f>
        <v>0.64</v>
      </c>
      <c r="P25" s="6"/>
      <c r="Q25" s="4"/>
      <c r="R25" s="2"/>
    </row>
    <row r="26" spans="1:18" x14ac:dyDescent="0.25">
      <c r="A26" s="5"/>
      <c r="B26" s="8" t="s">
        <v>75</v>
      </c>
      <c r="C26" s="5">
        <v>200</v>
      </c>
      <c r="D26" s="9">
        <v>0.2</v>
      </c>
      <c r="E26" s="10">
        <v>0</v>
      </c>
      <c r="F26" s="9">
        <v>14</v>
      </c>
      <c r="G26" s="9">
        <f>F26*4+E26*9+D26*4</f>
        <v>56.8</v>
      </c>
      <c r="H26" s="10">
        <v>0</v>
      </c>
      <c r="I26" s="10">
        <v>0</v>
      </c>
      <c r="J26" s="10">
        <v>0</v>
      </c>
      <c r="K26" s="10">
        <v>0</v>
      </c>
      <c r="L26" s="9">
        <v>12</v>
      </c>
      <c r="M26" s="9">
        <v>4</v>
      </c>
      <c r="N26" s="9">
        <v>6</v>
      </c>
      <c r="O26" s="9">
        <v>0.4</v>
      </c>
      <c r="P26" s="6"/>
      <c r="Q26" s="4"/>
      <c r="R26" s="2"/>
    </row>
    <row r="27" spans="1:18" x14ac:dyDescent="0.25">
      <c r="A27" s="125"/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112"/>
    </row>
    <row r="37" spans="1:18" x14ac:dyDescent="0.25">
      <c r="A37" s="6"/>
      <c r="B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78"/>
      <c r="C38" s="60"/>
      <c r="D38" s="60"/>
      <c r="E38" s="6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 t="s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6"/>
      <c r="B50" s="150"/>
      <c r="C50" s="149"/>
      <c r="D50" s="149"/>
      <c r="E50" s="14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  <c r="R50" s="2"/>
    </row>
    <row r="51" spans="1:18" x14ac:dyDescent="0.25">
      <c r="A51" s="149"/>
      <c r="B51" s="150"/>
      <c r="C51" s="150"/>
      <c r="D51" s="150"/>
      <c r="E51" s="150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2"/>
      <c r="R51" s="2"/>
    </row>
    <row r="52" spans="1:18" x14ac:dyDescent="0.25">
      <c r="A52" s="150"/>
      <c r="B52" s="150"/>
      <c r="C52" s="150"/>
      <c r="D52" s="150"/>
      <c r="E52" s="150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8" x14ac:dyDescent="0.25">
      <c r="A53" s="150"/>
      <c r="B53" s="150"/>
      <c r="C53" s="150"/>
      <c r="D53" s="150"/>
      <c r="E53" s="150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8" x14ac:dyDescent="0.25">
      <c r="A55" s="150"/>
      <c r="B55" s="150"/>
      <c r="C55" s="150"/>
      <c r="D55" s="150"/>
      <c r="E55" s="150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8" x14ac:dyDescent="0.25">
      <c r="A56" s="150"/>
      <c r="B56" s="150"/>
      <c r="C56" s="150"/>
      <c r="D56" s="150"/>
      <c r="E56" s="150"/>
    </row>
    <row r="57" spans="1:18" x14ac:dyDescent="0.25">
      <c r="A57" s="150"/>
      <c r="B57" s="150"/>
      <c r="C57" s="150"/>
      <c r="D57" s="150"/>
      <c r="E57" s="150"/>
    </row>
    <row r="58" spans="1:18" x14ac:dyDescent="0.25">
      <c r="A58" s="150"/>
      <c r="B58" s="150"/>
      <c r="C58" s="150"/>
      <c r="D58" s="150"/>
      <c r="E58" s="150"/>
    </row>
    <row r="59" spans="1:18" x14ac:dyDescent="0.25">
      <c r="A59" s="150"/>
      <c r="B59" s="150"/>
      <c r="C59" s="150"/>
      <c r="D59" s="150"/>
      <c r="E59" s="150"/>
    </row>
    <row r="60" spans="1:18" x14ac:dyDescent="0.25">
      <c r="A60" s="150"/>
      <c r="B60" s="150"/>
      <c r="C60" s="150"/>
      <c r="D60" s="150"/>
      <c r="E60" s="150"/>
    </row>
    <row r="61" spans="1:18" x14ac:dyDescent="0.25">
      <c r="A61" s="150"/>
      <c r="B61" s="150"/>
      <c r="C61" s="150"/>
      <c r="D61" s="150"/>
      <c r="E61" s="150"/>
    </row>
    <row r="62" spans="1:18" x14ac:dyDescent="0.25">
      <c r="A62" s="150"/>
      <c r="B62" s="150"/>
      <c r="C62" s="150"/>
      <c r="D62" s="150"/>
      <c r="E62" s="150"/>
    </row>
    <row r="63" spans="1:18" x14ac:dyDescent="0.25">
      <c r="A63" s="150"/>
      <c r="B63" s="150"/>
      <c r="C63" s="150"/>
      <c r="D63" s="150"/>
      <c r="E63" s="150"/>
    </row>
  </sheetData>
  <mergeCells count="17"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</mergeCells>
  <pageMargins left="0.4375" right="0.25" top="0.75" bottom="0.75" header="0.3" footer="0.3"/>
  <pageSetup paperSize="9" orientation="landscape" horizontalDpi="180" verticalDpi="180" r:id="rId1"/>
  <ignoredErrors>
    <ignoredError sqref="N1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Layout" zoomScaleNormal="110" workbookViewId="0">
      <selection activeCell="A37" sqref="A37:E62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7109375" customWidth="1"/>
    <col min="8" max="8" width="5.7109375" customWidth="1"/>
    <col min="9" max="9" width="7.4257812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273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x14ac:dyDescent="0.25">
      <c r="A6" s="5" t="s">
        <v>290</v>
      </c>
      <c r="B6" s="8" t="s">
        <v>289</v>
      </c>
      <c r="C6" s="5">
        <v>180</v>
      </c>
      <c r="D6" s="9">
        <f>C6*0.9/250</f>
        <v>0.64800000000000002</v>
      </c>
      <c r="E6" s="10">
        <v>0</v>
      </c>
      <c r="F6" s="9">
        <f>C6*47.4/250</f>
        <v>34.128</v>
      </c>
      <c r="G6" s="5">
        <f>F6*4+E6*9+D6*4</f>
        <v>139.10400000000001</v>
      </c>
      <c r="H6" s="10">
        <v>0</v>
      </c>
      <c r="I6" s="10">
        <v>0</v>
      </c>
      <c r="J6" s="10">
        <v>0</v>
      </c>
      <c r="K6" s="10">
        <v>0</v>
      </c>
      <c r="L6" s="9">
        <f>C6*4.65/100</f>
        <v>8.370000000000001</v>
      </c>
      <c r="M6" s="9">
        <f>C6*4.42/100</f>
        <v>7.9560000000000004</v>
      </c>
      <c r="N6" s="10">
        <v>0</v>
      </c>
      <c r="O6" s="5">
        <f>C6*0.03/100</f>
        <v>5.3999999999999992E-2</v>
      </c>
      <c r="P6" s="6"/>
      <c r="Q6" s="4"/>
      <c r="R6" s="2"/>
    </row>
    <row r="7" spans="1:18" x14ac:dyDescent="0.25">
      <c r="A7" s="5" t="s">
        <v>105</v>
      </c>
      <c r="B7" s="8" t="s">
        <v>104</v>
      </c>
      <c r="C7" s="5">
        <v>50</v>
      </c>
      <c r="D7" s="5">
        <v>4.7300000000000004</v>
      </c>
      <c r="E7" s="9">
        <v>6.88</v>
      </c>
      <c r="F7" s="9">
        <v>14.56</v>
      </c>
      <c r="G7" s="9">
        <f>F7*4+E7*9+D7*4</f>
        <v>139.07999999999998</v>
      </c>
      <c r="H7" s="5">
        <v>0.17</v>
      </c>
      <c r="I7" s="10">
        <v>0</v>
      </c>
      <c r="J7" s="5">
        <v>0.15</v>
      </c>
      <c r="K7" s="5">
        <v>5.45</v>
      </c>
      <c r="L7" s="9">
        <v>215.99</v>
      </c>
      <c r="M7" s="9">
        <v>217</v>
      </c>
      <c r="N7" s="5">
        <v>42.91</v>
      </c>
      <c r="O7" s="5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72</v>
      </c>
      <c r="B9" s="40" t="s">
        <v>71</v>
      </c>
      <c r="C9" s="22">
        <v>200</v>
      </c>
      <c r="D9" s="23">
        <v>0.3</v>
      </c>
      <c r="E9" s="35">
        <v>0</v>
      </c>
      <c r="F9" s="23">
        <v>15.2</v>
      </c>
      <c r="G9" s="23">
        <f t="shared" ref="G9" si="0">F9*4+E9*9+D9*4</f>
        <v>62</v>
      </c>
      <c r="H9" s="35">
        <v>0</v>
      </c>
      <c r="I9" s="23">
        <v>2.2000000000000002</v>
      </c>
      <c r="J9" s="35">
        <v>0</v>
      </c>
      <c r="K9" s="35">
        <v>0</v>
      </c>
      <c r="L9" s="23">
        <v>16</v>
      </c>
      <c r="M9" s="23">
        <v>8</v>
      </c>
      <c r="N9" s="23">
        <v>6</v>
      </c>
      <c r="O9" s="23">
        <v>0.8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6">
        <f t="shared" ref="D10:O10" si="1">SUM(D6:D9)</f>
        <v>8.6780000000000008</v>
      </c>
      <c r="E10" s="15">
        <f t="shared" si="1"/>
        <v>8.0399999999999991</v>
      </c>
      <c r="F10" s="16">
        <f t="shared" si="1"/>
        <v>84.448000000000008</v>
      </c>
      <c r="G10" s="16">
        <f t="shared" si="1"/>
        <v>444.86399999999998</v>
      </c>
      <c r="H10" s="16">
        <f t="shared" si="1"/>
        <v>0.21400000000000002</v>
      </c>
      <c r="I10" s="16">
        <f t="shared" si="1"/>
        <v>2.2000000000000002</v>
      </c>
      <c r="J10" s="16">
        <f t="shared" si="1"/>
        <v>0.15</v>
      </c>
      <c r="K10" s="16">
        <f t="shared" si="1"/>
        <v>6.13</v>
      </c>
      <c r="L10" s="15">
        <f t="shared" si="1"/>
        <v>247.96</v>
      </c>
      <c r="M10" s="15">
        <f t="shared" si="1"/>
        <v>258.95600000000002</v>
      </c>
      <c r="N10" s="16">
        <f t="shared" si="1"/>
        <v>54.11</v>
      </c>
      <c r="O10" s="16">
        <f t="shared" si="1"/>
        <v>3.0739999999999998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ht="25.5" x14ac:dyDescent="0.25">
      <c r="A12" s="5" t="s">
        <v>226</v>
      </c>
      <c r="B12" s="20" t="s">
        <v>225</v>
      </c>
      <c r="C12" s="5">
        <v>100</v>
      </c>
      <c r="D12" s="9">
        <f>C12*5.6/100</f>
        <v>5.6</v>
      </c>
      <c r="E12" s="9">
        <v>9.1</v>
      </c>
      <c r="F12" s="9">
        <f>C12*5.1/100</f>
        <v>5.0999999999999996</v>
      </c>
      <c r="G12" s="9">
        <f>F12*4+E12*9+D12*4</f>
        <v>124.69999999999999</v>
      </c>
      <c r="H12" s="22">
        <f>C12*0.06/100</f>
        <v>0.06</v>
      </c>
      <c r="I12" s="23">
        <f>C12*4.3/100</f>
        <v>4.3</v>
      </c>
      <c r="J12" s="23">
        <f>C12*0.02/100</f>
        <v>0.02</v>
      </c>
      <c r="K12" s="23">
        <f>C12*0.4/100</f>
        <v>0.4</v>
      </c>
      <c r="L12" s="23">
        <f>C12*32/100</f>
        <v>32</v>
      </c>
      <c r="M12" s="23">
        <f>C12*53/100</f>
        <v>53</v>
      </c>
      <c r="N12" s="23">
        <f>C12*34/100</f>
        <v>34</v>
      </c>
      <c r="O12" s="23">
        <f>C12*0.6/100</f>
        <v>0.6</v>
      </c>
      <c r="P12" s="6"/>
      <c r="Q12" s="4"/>
      <c r="R12" s="2"/>
    </row>
    <row r="13" spans="1:18" ht="25.5" x14ac:dyDescent="0.25">
      <c r="A13" s="5" t="s">
        <v>296</v>
      </c>
      <c r="B13" s="54" t="s">
        <v>224</v>
      </c>
      <c r="C13" s="5">
        <v>250</v>
      </c>
      <c r="D13" s="9">
        <v>2</v>
      </c>
      <c r="E13" s="9">
        <v>2.4</v>
      </c>
      <c r="F13" s="5">
        <v>14.8</v>
      </c>
      <c r="G13" s="9">
        <f>F13*4+E13*9+D13*4</f>
        <v>88.8</v>
      </c>
      <c r="H13" s="23">
        <f>C13*0.04/100</f>
        <v>0.1</v>
      </c>
      <c r="I13" s="23">
        <f>C13*1.08/100</f>
        <v>2.7</v>
      </c>
      <c r="J13" s="23">
        <f>C13*0.32/100</f>
        <v>0.8</v>
      </c>
      <c r="K13" s="23">
        <f>C13*0.36/100</f>
        <v>0.9</v>
      </c>
      <c r="L13" s="23">
        <f>C13*26.46/100</f>
        <v>66.150000000000006</v>
      </c>
      <c r="M13" s="23">
        <f>C13*25.64/100</f>
        <v>64.099999999999994</v>
      </c>
      <c r="N13" s="23">
        <f>C13*10.6/100</f>
        <v>26.5</v>
      </c>
      <c r="O13" s="23">
        <f>C13*0.55/100</f>
        <v>1.375</v>
      </c>
      <c r="P13" s="6"/>
      <c r="Q13" s="4"/>
      <c r="R13" s="2"/>
    </row>
    <row r="14" spans="1:18" x14ac:dyDescent="0.25">
      <c r="A14" s="5" t="s">
        <v>236</v>
      </c>
      <c r="B14" s="20" t="s">
        <v>277</v>
      </c>
      <c r="C14" s="5">
        <v>180</v>
      </c>
      <c r="D14" s="9">
        <f>C14*2.85/100</f>
        <v>5.13</v>
      </c>
      <c r="E14" s="9">
        <f>C14*3.24/100</f>
        <v>5.8320000000000007</v>
      </c>
      <c r="F14" s="9">
        <f>C14*16.3/100</f>
        <v>29.34</v>
      </c>
      <c r="G14" s="9">
        <f>F14*4+E14*9+D14*4</f>
        <v>190.36800000000002</v>
      </c>
      <c r="H14" s="23">
        <f>C14*0.08/100</f>
        <v>0.14400000000000002</v>
      </c>
      <c r="I14" s="35">
        <v>0</v>
      </c>
      <c r="J14" s="35">
        <v>0</v>
      </c>
      <c r="K14" s="22">
        <f>C14*0.8/100</f>
        <v>1.44</v>
      </c>
      <c r="L14" s="23">
        <f>C14*14/100</f>
        <v>25.2</v>
      </c>
      <c r="M14" s="23">
        <f>C14*56/100</f>
        <v>100.8</v>
      </c>
      <c r="N14" s="23">
        <f>C14*21/100</f>
        <v>37.799999999999997</v>
      </c>
      <c r="O14" s="23">
        <f>C14*0.7/100</f>
        <v>1.2599999999999998</v>
      </c>
      <c r="P14" s="6"/>
      <c r="Q14" s="4"/>
      <c r="R14" s="112"/>
    </row>
    <row r="15" spans="1:18" ht="25.5" x14ac:dyDescent="0.25">
      <c r="A15" s="5" t="s">
        <v>228</v>
      </c>
      <c r="B15" s="20" t="s">
        <v>227</v>
      </c>
      <c r="C15" s="5">
        <v>80</v>
      </c>
      <c r="D15" s="5">
        <f>C15*24.8/100</f>
        <v>19.84</v>
      </c>
      <c r="E15" s="5">
        <f>C15*16.6/100</f>
        <v>13.28</v>
      </c>
      <c r="F15" s="9">
        <f>C15*6.1/100</f>
        <v>4.88</v>
      </c>
      <c r="G15" s="5">
        <f>F15*4+E15*9+D15*4</f>
        <v>218.39999999999998</v>
      </c>
      <c r="H15" s="23">
        <v>0.03</v>
      </c>
      <c r="I15" s="35">
        <v>0</v>
      </c>
      <c r="J15" s="35">
        <v>0</v>
      </c>
      <c r="K15" s="23">
        <v>9.1999999999999993</v>
      </c>
      <c r="L15" s="23">
        <v>36</v>
      </c>
      <c r="M15" s="23">
        <v>224</v>
      </c>
      <c r="N15" s="23">
        <v>40</v>
      </c>
      <c r="O15" s="23">
        <v>1.6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ref="G16" si="2">F16*4+E16*9+D16*4</f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11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>F17*4+E17*9+D17*4</f>
        <v>118</v>
      </c>
      <c r="H17" s="9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>F18*4+E18*9+D18*4</f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117</v>
      </c>
      <c r="B19" s="8" t="s">
        <v>116</v>
      </c>
      <c r="C19" s="5">
        <v>200</v>
      </c>
      <c r="D19" s="9">
        <v>0.16</v>
      </c>
      <c r="E19" s="5">
        <v>0.16</v>
      </c>
      <c r="F19" s="9">
        <v>23.88</v>
      </c>
      <c r="G19" s="9">
        <f>F19*4+E19*9+D19*4</f>
        <v>97.6</v>
      </c>
      <c r="H19" s="22">
        <v>0.01</v>
      </c>
      <c r="I19" s="23">
        <v>0.9</v>
      </c>
      <c r="J19" s="35">
        <v>0</v>
      </c>
      <c r="K19" s="22">
        <v>0.08</v>
      </c>
      <c r="L19" s="23">
        <v>14.18</v>
      </c>
      <c r="M19" s="23">
        <v>4.4000000000000004</v>
      </c>
      <c r="N19" s="23">
        <v>5.14</v>
      </c>
      <c r="O19" s="23">
        <v>0.95</v>
      </c>
      <c r="P19" s="6"/>
      <c r="Q19" s="4"/>
      <c r="R19" s="2"/>
    </row>
    <row r="20" spans="1:18" x14ac:dyDescent="0.25">
      <c r="A20" s="5"/>
      <c r="B20" s="8" t="s">
        <v>73</v>
      </c>
      <c r="C20" s="5">
        <v>100</v>
      </c>
      <c r="D20" s="9">
        <v>1.5</v>
      </c>
      <c r="E20" s="9">
        <v>0.5</v>
      </c>
      <c r="F20" s="9">
        <v>21</v>
      </c>
      <c r="G20" s="9">
        <f>F20*4+E20*9+D20*4</f>
        <v>94.5</v>
      </c>
      <c r="H20" s="5">
        <v>0.04</v>
      </c>
      <c r="I20" s="9">
        <v>10</v>
      </c>
      <c r="J20" s="10">
        <v>0</v>
      </c>
      <c r="K20" s="9">
        <v>0.4</v>
      </c>
      <c r="L20" s="9">
        <v>8</v>
      </c>
      <c r="M20" s="9">
        <v>28</v>
      </c>
      <c r="N20" s="9">
        <v>42</v>
      </c>
      <c r="O20" s="9">
        <v>0.6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6">
        <f t="shared" ref="D21:O21" si="3">SUM(D12:D20)</f>
        <v>41.5</v>
      </c>
      <c r="E21" s="16">
        <f t="shared" si="3"/>
        <v>34.991999999999997</v>
      </c>
      <c r="F21" s="15">
        <f t="shared" si="3"/>
        <v>144.13</v>
      </c>
      <c r="G21" s="16">
        <f t="shared" si="3"/>
        <v>1057.4479999999999</v>
      </c>
      <c r="H21" s="16">
        <f t="shared" si="3"/>
        <v>0.51100000000000012</v>
      </c>
      <c r="I21" s="16">
        <f t="shared" si="3"/>
        <v>18.29</v>
      </c>
      <c r="J21" s="16">
        <f t="shared" si="3"/>
        <v>0.82000000000000006</v>
      </c>
      <c r="K21" s="16">
        <f t="shared" si="3"/>
        <v>13.530000000000001</v>
      </c>
      <c r="L21" s="16">
        <f t="shared" si="3"/>
        <v>205.54000000000002</v>
      </c>
      <c r="M21" s="16">
        <f t="shared" si="3"/>
        <v>570</v>
      </c>
      <c r="N21" s="16">
        <f t="shared" si="3"/>
        <v>228.74</v>
      </c>
      <c r="O21" s="16">
        <f t="shared" si="3"/>
        <v>8.5950000000000006</v>
      </c>
      <c r="P21" s="6"/>
      <c r="Q21" s="4"/>
      <c r="R21" s="2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4">D10+D21</f>
        <v>50.177999999999997</v>
      </c>
      <c r="E23" s="16">
        <f t="shared" si="4"/>
        <v>43.031999999999996</v>
      </c>
      <c r="F23" s="16">
        <f t="shared" si="4"/>
        <v>228.578</v>
      </c>
      <c r="G23" s="15">
        <f t="shared" si="4"/>
        <v>1502.3119999999999</v>
      </c>
      <c r="H23" s="16">
        <f t="shared" si="4"/>
        <v>0.72500000000000009</v>
      </c>
      <c r="I23" s="16">
        <f t="shared" si="4"/>
        <v>20.49</v>
      </c>
      <c r="J23" s="16">
        <f t="shared" si="4"/>
        <v>0.97000000000000008</v>
      </c>
      <c r="K23" s="16">
        <f t="shared" si="4"/>
        <v>19.66</v>
      </c>
      <c r="L23" s="16">
        <f t="shared" si="4"/>
        <v>453.5</v>
      </c>
      <c r="M23" s="16">
        <f t="shared" si="4"/>
        <v>828.95600000000002</v>
      </c>
      <c r="N23" s="16">
        <f t="shared" si="4"/>
        <v>282.85000000000002</v>
      </c>
      <c r="O23" s="16">
        <f t="shared" si="4"/>
        <v>11.669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232</v>
      </c>
      <c r="B25" s="8" t="s">
        <v>231</v>
      </c>
      <c r="C25" s="5">
        <v>80</v>
      </c>
      <c r="D25" s="9">
        <f>C25*3.41/50</f>
        <v>5.4560000000000004</v>
      </c>
      <c r="E25" s="9">
        <f>C25*2.28/50</f>
        <v>3.6479999999999997</v>
      </c>
      <c r="F25" s="9">
        <f>C25*21.38/50</f>
        <v>34.207999999999998</v>
      </c>
      <c r="G25" s="9">
        <f>F25*4+E25*9+D25*4</f>
        <v>191.488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6"/>
      <c r="Q25" s="4"/>
      <c r="R25" s="2"/>
    </row>
    <row r="26" spans="1:18" x14ac:dyDescent="0.25">
      <c r="A26" s="5"/>
      <c r="B26" s="8" t="s">
        <v>75</v>
      </c>
      <c r="C26" s="5">
        <v>200</v>
      </c>
      <c r="D26" s="9">
        <v>0.2</v>
      </c>
      <c r="E26" s="10">
        <v>0</v>
      </c>
      <c r="F26" s="9">
        <v>14</v>
      </c>
      <c r="G26" s="9">
        <f>F26*4+E26*9+D26*4</f>
        <v>56.8</v>
      </c>
      <c r="H26" s="10">
        <v>0</v>
      </c>
      <c r="I26" s="10">
        <v>0</v>
      </c>
      <c r="J26" s="10">
        <v>0</v>
      </c>
      <c r="K26" s="10">
        <v>0</v>
      </c>
      <c r="L26" s="9">
        <v>12</v>
      </c>
      <c r="M26" s="9">
        <v>4</v>
      </c>
      <c r="N26" s="9">
        <v>6</v>
      </c>
      <c r="O26" s="9">
        <v>0.4</v>
      </c>
      <c r="P26" s="6"/>
      <c r="Q26" s="4"/>
      <c r="R26" s="2"/>
    </row>
    <row r="27" spans="1:18" x14ac:dyDescent="0.25">
      <c r="A27" s="125"/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6"/>
      <c r="B37" s="78"/>
      <c r="C37" s="60"/>
      <c r="D37" s="60"/>
      <c r="E37" s="6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15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 t="s">
        <v>20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149"/>
      <c r="D49" s="149"/>
      <c r="E49" s="14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149"/>
      <c r="B50" s="150"/>
      <c r="C50" s="150"/>
      <c r="D50" s="150"/>
      <c r="E50" s="150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2"/>
      <c r="R50" s="2"/>
    </row>
    <row r="51" spans="1:18" x14ac:dyDescent="0.25">
      <c r="A51" s="150"/>
      <c r="B51" s="150"/>
      <c r="C51" s="150"/>
      <c r="D51" s="150"/>
      <c r="E51" s="150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8" x14ac:dyDescent="0.25">
      <c r="A52" s="150"/>
      <c r="B52" s="150"/>
      <c r="C52" s="150"/>
      <c r="D52" s="150"/>
      <c r="E52" s="150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8" x14ac:dyDescent="0.25">
      <c r="A53" s="150"/>
      <c r="B53" s="150"/>
      <c r="C53" s="150"/>
      <c r="D53" s="150"/>
      <c r="E53" s="150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8" x14ac:dyDescent="0.25">
      <c r="A55" s="150"/>
      <c r="B55" s="150"/>
      <c r="C55" s="150"/>
      <c r="D55" s="150"/>
      <c r="E55" s="150"/>
    </row>
    <row r="56" spans="1:18" x14ac:dyDescent="0.25">
      <c r="A56" s="150"/>
      <c r="B56" s="150"/>
      <c r="C56" s="150"/>
      <c r="D56" s="150"/>
      <c r="E56" s="150"/>
    </row>
    <row r="57" spans="1:18" x14ac:dyDescent="0.25">
      <c r="A57" s="150"/>
      <c r="B57" s="150"/>
      <c r="C57" s="150"/>
      <c r="D57" s="150"/>
      <c r="E57" s="150"/>
    </row>
    <row r="58" spans="1:18" x14ac:dyDescent="0.25">
      <c r="A58" s="150"/>
      <c r="B58" s="150"/>
      <c r="C58" s="150"/>
      <c r="D58" s="150"/>
      <c r="E58" s="150"/>
    </row>
    <row r="59" spans="1:18" x14ac:dyDescent="0.25">
      <c r="A59" s="150"/>
      <c r="B59" s="150"/>
      <c r="C59" s="150"/>
      <c r="D59" s="150"/>
      <c r="E59" s="150"/>
    </row>
    <row r="60" spans="1:18" x14ac:dyDescent="0.25">
      <c r="A60" s="150"/>
      <c r="B60" s="150"/>
      <c r="C60" s="150"/>
      <c r="D60" s="150"/>
      <c r="E60" s="150"/>
    </row>
    <row r="61" spans="1:18" x14ac:dyDescent="0.25">
      <c r="A61" s="150"/>
      <c r="B61" s="150"/>
      <c r="C61" s="150"/>
      <c r="D61" s="150"/>
      <c r="E61" s="150"/>
    </row>
    <row r="62" spans="1:18" x14ac:dyDescent="0.25">
      <c r="A62" s="150"/>
      <c r="B62" s="150"/>
      <c r="C62" s="150"/>
      <c r="D62" s="150"/>
      <c r="E62" s="150"/>
    </row>
    <row r="71" spans="2:15" x14ac:dyDescent="0.25">
      <c r="B71" s="6"/>
      <c r="C71" s="17"/>
      <c r="D71" s="6"/>
      <c r="E71" s="44"/>
      <c r="F71" s="44"/>
      <c r="G71" s="6"/>
      <c r="H71" s="44"/>
      <c r="I71" s="6"/>
      <c r="J71" s="44"/>
      <c r="K71" s="45"/>
      <c r="L71" s="6"/>
      <c r="M71" s="44"/>
      <c r="N71" s="44"/>
      <c r="O71" s="44"/>
    </row>
  </sheetData>
  <mergeCells count="17"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</mergeCells>
  <pageMargins left="0.46875" right="0.25" top="0.75" bottom="0.75" header="0.3" footer="0.3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view="pageLayout" topLeftCell="A40" zoomScaleNormal="110" workbookViewId="0">
      <selection activeCell="A42" sqref="A42:E66"/>
    </sheetView>
  </sheetViews>
  <sheetFormatPr defaultRowHeight="15" x14ac:dyDescent="0.25"/>
  <cols>
    <col min="1" max="1" width="9.85546875" customWidth="1"/>
    <col min="2" max="2" width="29" customWidth="1"/>
    <col min="3" max="3" width="6.7109375" customWidth="1"/>
    <col min="4" max="4" width="7.7109375" customWidth="1"/>
    <col min="5" max="5" width="7" customWidth="1"/>
    <col min="7" max="7" width="8.5703125" customWidth="1"/>
    <col min="8" max="8" width="5.7109375" customWidth="1"/>
    <col min="9" max="9" width="7.5703125" customWidth="1"/>
    <col min="10" max="10" width="5.85546875" customWidth="1"/>
    <col min="11" max="11" width="6" customWidth="1"/>
    <col min="12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274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144</v>
      </c>
      <c r="B6" s="20" t="s">
        <v>143</v>
      </c>
      <c r="C6" s="5">
        <v>180</v>
      </c>
      <c r="D6" s="5">
        <f>C6*3.1/100</f>
        <v>5.58</v>
      </c>
      <c r="E6" s="5">
        <f>C6*4.8/100</f>
        <v>8.64</v>
      </c>
      <c r="F6" s="9">
        <f>C6*13.3/100</f>
        <v>23.94</v>
      </c>
      <c r="G6" s="5">
        <f>F6*4+E6*9+D6*4</f>
        <v>195.84</v>
      </c>
      <c r="H6" s="23">
        <f>C6*0.07/100</f>
        <v>0.126</v>
      </c>
      <c r="I6" s="35">
        <v>0</v>
      </c>
      <c r="J6" s="35">
        <v>0</v>
      </c>
      <c r="K6" s="22">
        <f>C6*1.1/100</f>
        <v>1.9800000000000002</v>
      </c>
      <c r="L6" s="23">
        <f>C6*19/100</f>
        <v>34.200000000000003</v>
      </c>
      <c r="M6" s="23">
        <f>C6*70/100</f>
        <v>126</v>
      </c>
      <c r="N6" s="23">
        <f>C6*29/100</f>
        <v>52.2</v>
      </c>
      <c r="O6" s="23">
        <f>C6*0.8/100</f>
        <v>1.44</v>
      </c>
      <c r="P6" s="6"/>
      <c r="Q6" s="4"/>
      <c r="R6" s="2"/>
    </row>
    <row r="7" spans="1:18" x14ac:dyDescent="0.25">
      <c r="A7" s="5" t="s">
        <v>256</v>
      </c>
      <c r="B7" s="8" t="s">
        <v>257</v>
      </c>
      <c r="C7" s="5">
        <v>40</v>
      </c>
      <c r="D7" s="5">
        <v>2.4500000000000002</v>
      </c>
      <c r="E7" s="9">
        <v>7.55</v>
      </c>
      <c r="F7" s="9">
        <v>14.62</v>
      </c>
      <c r="G7" s="9">
        <f>F7*4+E7*9+D7*4</f>
        <v>136.23000000000002</v>
      </c>
      <c r="H7" s="22">
        <v>0.17</v>
      </c>
      <c r="I7" s="35">
        <v>0</v>
      </c>
      <c r="J7" s="22">
        <v>0.15</v>
      </c>
      <c r="K7" s="22">
        <v>5.45</v>
      </c>
      <c r="L7" s="23">
        <v>215.99</v>
      </c>
      <c r="M7" s="23">
        <v>217</v>
      </c>
      <c r="N7" s="22">
        <v>42.91</v>
      </c>
      <c r="O7" s="22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127</v>
      </c>
      <c r="B9" s="8" t="s">
        <v>75</v>
      </c>
      <c r="C9" s="5">
        <v>200</v>
      </c>
      <c r="D9" s="9">
        <v>0.2</v>
      </c>
      <c r="E9" s="10">
        <v>0</v>
      </c>
      <c r="F9" s="9">
        <v>14</v>
      </c>
      <c r="G9" s="9">
        <f>F9*4+E9*9+D9*4</f>
        <v>56.8</v>
      </c>
      <c r="H9" s="10">
        <v>0</v>
      </c>
      <c r="I9" s="10">
        <v>0</v>
      </c>
      <c r="J9" s="10">
        <v>0</v>
      </c>
      <c r="K9" s="10">
        <v>0</v>
      </c>
      <c r="L9" s="9">
        <v>12</v>
      </c>
      <c r="M9" s="9">
        <v>4</v>
      </c>
      <c r="N9" s="9">
        <v>6</v>
      </c>
      <c r="O9" s="9">
        <v>0.8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0">SUM(D6:D9)</f>
        <v>11.23</v>
      </c>
      <c r="E10" s="15">
        <f t="shared" si="0"/>
        <v>17.350000000000001</v>
      </c>
      <c r="F10" s="16">
        <f t="shared" si="0"/>
        <v>73.12</v>
      </c>
      <c r="G10" s="16">
        <f t="shared" si="0"/>
        <v>493.55000000000007</v>
      </c>
      <c r="H10" s="15">
        <f t="shared" si="0"/>
        <v>0.34</v>
      </c>
      <c r="I10" s="19">
        <f t="shared" si="0"/>
        <v>0</v>
      </c>
      <c r="J10" s="15">
        <f t="shared" si="0"/>
        <v>0.15</v>
      </c>
      <c r="K10" s="15">
        <f t="shared" si="0"/>
        <v>8.1100000000000012</v>
      </c>
      <c r="L10" s="15">
        <f t="shared" si="0"/>
        <v>269.79000000000002</v>
      </c>
      <c r="M10" s="16">
        <f t="shared" si="0"/>
        <v>373</v>
      </c>
      <c r="N10" s="15">
        <f t="shared" si="0"/>
        <v>106.31</v>
      </c>
      <c r="O10" s="15">
        <f t="shared" si="0"/>
        <v>4.46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 t="s">
        <v>234</v>
      </c>
      <c r="B12" s="8" t="s">
        <v>233</v>
      </c>
      <c r="C12" s="5">
        <v>100</v>
      </c>
      <c r="D12" s="9">
        <f>C12*1.3/100</f>
        <v>1.3</v>
      </c>
      <c r="E12" s="9">
        <f>C12*9.9/100</f>
        <v>9.9</v>
      </c>
      <c r="F12" s="9">
        <f>C12*8.4/100</f>
        <v>8.4</v>
      </c>
      <c r="G12" s="9">
        <f t="shared" ref="G12:G20" si="1">F12*4+E12*9+D12*4</f>
        <v>127.90000000000002</v>
      </c>
      <c r="H12" s="9">
        <f>C12*0.1/100</f>
        <v>0.1</v>
      </c>
      <c r="I12" s="9">
        <f>C12*13/100</f>
        <v>13</v>
      </c>
      <c r="J12" s="10">
        <v>0</v>
      </c>
      <c r="K12" s="9">
        <f>C12*2.95/100</f>
        <v>2.95</v>
      </c>
      <c r="L12" s="9">
        <f>C12*40.4/100</f>
        <v>40.4</v>
      </c>
      <c r="M12" s="9">
        <f>C12*48.8/100</f>
        <v>48.8</v>
      </c>
      <c r="N12" s="9">
        <f>C12*23.4/100</f>
        <v>23.4</v>
      </c>
      <c r="O12" s="9">
        <f>C12*1.02/100</f>
        <v>1.02</v>
      </c>
      <c r="P12" s="6"/>
      <c r="Q12" s="4"/>
      <c r="R12" s="2"/>
    </row>
    <row r="13" spans="1:18" x14ac:dyDescent="0.25">
      <c r="A13" s="5" t="s">
        <v>90</v>
      </c>
      <c r="B13" s="8" t="s">
        <v>89</v>
      </c>
      <c r="C13" s="5">
        <v>250</v>
      </c>
      <c r="D13" s="9">
        <f>C13*0.87/100</f>
        <v>2.1749999999999998</v>
      </c>
      <c r="E13" s="9">
        <f>C13*2.05/100</f>
        <v>5.125</v>
      </c>
      <c r="F13" s="9">
        <f>C13*6.64/100</f>
        <v>16.600000000000001</v>
      </c>
      <c r="G13" s="9">
        <f>F13*4+E13*9+D13*4</f>
        <v>121.22500000000001</v>
      </c>
      <c r="H13" s="5">
        <v>0.09</v>
      </c>
      <c r="I13" s="9">
        <v>8.3800000000000008</v>
      </c>
      <c r="J13" s="10">
        <v>0</v>
      </c>
      <c r="K13" s="5">
        <v>2.35</v>
      </c>
      <c r="L13" s="9">
        <v>29.15</v>
      </c>
      <c r="M13" s="9">
        <v>56.73</v>
      </c>
      <c r="N13" s="9">
        <v>24.18</v>
      </c>
      <c r="O13" s="9">
        <v>0.9</v>
      </c>
      <c r="P13" s="6"/>
      <c r="Q13" s="4"/>
      <c r="R13" s="2"/>
    </row>
    <row r="14" spans="1:18" x14ac:dyDescent="0.25">
      <c r="A14" s="5" t="s">
        <v>113</v>
      </c>
      <c r="B14" s="20" t="s">
        <v>112</v>
      </c>
      <c r="C14" s="5">
        <v>180</v>
      </c>
      <c r="D14" s="9">
        <f>C14*3.5/100</f>
        <v>6.3</v>
      </c>
      <c r="E14" s="5">
        <f>C14*4.1/100</f>
        <v>7.379999999999999</v>
      </c>
      <c r="F14" s="9">
        <f>C14*23.5/100</f>
        <v>42.3</v>
      </c>
      <c r="G14" s="9">
        <f t="shared" si="1"/>
        <v>260.82</v>
      </c>
      <c r="H14" s="5">
        <f>C14*0.04/100</f>
        <v>7.2000000000000008E-2</v>
      </c>
      <c r="I14" s="10">
        <v>0</v>
      </c>
      <c r="J14" s="10">
        <v>0</v>
      </c>
      <c r="K14" s="9">
        <f>C14*1.5/100</f>
        <v>2.7</v>
      </c>
      <c r="L14" s="9">
        <f>C14*24/100</f>
        <v>43.2</v>
      </c>
      <c r="M14" s="9">
        <f>C14*106/100</f>
        <v>190.8</v>
      </c>
      <c r="N14" s="9">
        <f>C14*17/100</f>
        <v>30.6</v>
      </c>
      <c r="O14" s="5">
        <f>C14*2.1/100</f>
        <v>3.78</v>
      </c>
      <c r="P14" s="6"/>
      <c r="Q14" s="4"/>
      <c r="R14" s="2"/>
    </row>
    <row r="15" spans="1:18" x14ac:dyDescent="0.25">
      <c r="A15" s="5" t="s">
        <v>171</v>
      </c>
      <c r="B15" s="8" t="s">
        <v>170</v>
      </c>
      <c r="C15" s="5">
        <v>80</v>
      </c>
      <c r="D15" s="9">
        <f>C15*17.5/100</f>
        <v>14</v>
      </c>
      <c r="E15" s="5">
        <f>C15*24.9/100</f>
        <v>19.920000000000002</v>
      </c>
      <c r="F15" s="9">
        <f>C15*9/100</f>
        <v>7.2</v>
      </c>
      <c r="G15" s="5">
        <f>F15*4+E15*9+D15*4</f>
        <v>264.08000000000004</v>
      </c>
      <c r="H15" s="23">
        <f>C15*0.07/100</f>
        <v>5.6000000000000008E-2</v>
      </c>
      <c r="I15" s="35">
        <v>0</v>
      </c>
      <c r="J15" s="23">
        <f>C15*0.01/100</f>
        <v>8.0000000000000002E-3</v>
      </c>
      <c r="K15" s="23">
        <f>C15*1.1/100</f>
        <v>0.88</v>
      </c>
      <c r="L15" s="23">
        <f>C15*18/100</f>
        <v>14.4</v>
      </c>
      <c r="M15" s="23">
        <f>C15*151/100</f>
        <v>120.8</v>
      </c>
      <c r="N15" s="23">
        <f>C15*28/100</f>
        <v>22.4</v>
      </c>
      <c r="O15" s="23">
        <f>C15*1.6/100</f>
        <v>1.28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1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1"/>
        <v>118</v>
      </c>
      <c r="H17" s="5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1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240</v>
      </c>
      <c r="B19" s="8" t="s">
        <v>239</v>
      </c>
      <c r="C19" s="5">
        <v>200</v>
      </c>
      <c r="D19" s="9">
        <v>0.4</v>
      </c>
      <c r="E19" s="9">
        <v>0.27</v>
      </c>
      <c r="F19" s="9">
        <v>17.2</v>
      </c>
      <c r="G19" s="9">
        <f t="shared" si="1"/>
        <v>72.83</v>
      </c>
      <c r="H19" s="9">
        <v>0.01</v>
      </c>
      <c r="I19" s="9">
        <v>24</v>
      </c>
      <c r="J19" s="10">
        <v>0</v>
      </c>
      <c r="K19" s="10">
        <v>0</v>
      </c>
      <c r="L19" s="9">
        <v>13.2</v>
      </c>
      <c r="M19" s="9">
        <v>2.13</v>
      </c>
      <c r="N19" s="9">
        <v>2.67</v>
      </c>
      <c r="O19" s="9">
        <v>0.53</v>
      </c>
      <c r="P19" s="6"/>
      <c r="Q19" s="4"/>
      <c r="R19" s="2"/>
    </row>
    <row r="20" spans="1:18" x14ac:dyDescent="0.25">
      <c r="A20" s="5"/>
      <c r="B20" s="8" t="s">
        <v>100</v>
      </c>
      <c r="C20" s="5">
        <v>100</v>
      </c>
      <c r="D20" s="9">
        <v>0.4</v>
      </c>
      <c r="E20" s="9">
        <v>0.3</v>
      </c>
      <c r="F20" s="9">
        <v>10.3</v>
      </c>
      <c r="G20" s="9">
        <f t="shared" si="1"/>
        <v>45.500000000000007</v>
      </c>
      <c r="H20" s="5">
        <v>0.02</v>
      </c>
      <c r="I20" s="9">
        <v>5</v>
      </c>
      <c r="J20" s="10">
        <v>0</v>
      </c>
      <c r="K20" s="9">
        <v>0.4</v>
      </c>
      <c r="L20" s="9">
        <v>19</v>
      </c>
      <c r="M20" s="9">
        <v>16</v>
      </c>
      <c r="N20" s="9">
        <v>12</v>
      </c>
      <c r="O20" s="9">
        <v>2.2999999999999998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5">
        <f t="shared" ref="D21:O21" si="2">SUM(D12:D20)</f>
        <v>31.844999999999999</v>
      </c>
      <c r="E21" s="15">
        <f t="shared" si="2"/>
        <v>46.615000000000002</v>
      </c>
      <c r="F21" s="15">
        <f t="shared" si="2"/>
        <v>147.13</v>
      </c>
      <c r="G21" s="15">
        <f t="shared" si="2"/>
        <v>1135.4349999999999</v>
      </c>
      <c r="H21" s="16">
        <f t="shared" si="2"/>
        <v>0.47500000000000003</v>
      </c>
      <c r="I21" s="16">
        <f t="shared" si="2"/>
        <v>50.77</v>
      </c>
      <c r="J21" s="19">
        <f t="shared" si="2"/>
        <v>8.0000000000000002E-3</v>
      </c>
      <c r="K21" s="16">
        <f t="shared" si="2"/>
        <v>10.390000000000002</v>
      </c>
      <c r="L21" s="16">
        <f t="shared" si="2"/>
        <v>183.36</v>
      </c>
      <c r="M21" s="16">
        <f t="shared" si="2"/>
        <v>530.96</v>
      </c>
      <c r="N21" s="16">
        <f t="shared" si="2"/>
        <v>158.55000000000001</v>
      </c>
      <c r="O21" s="16">
        <f t="shared" si="2"/>
        <v>12.02</v>
      </c>
      <c r="P21" s="6"/>
      <c r="Q21" s="4"/>
      <c r="R21" s="2"/>
    </row>
    <row r="22" spans="1:18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11"/>
      <c r="O22" s="212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3">D10+D21</f>
        <v>43.075000000000003</v>
      </c>
      <c r="E23" s="16">
        <f t="shared" si="3"/>
        <v>63.965000000000003</v>
      </c>
      <c r="F23" s="16">
        <f t="shared" si="3"/>
        <v>220.25</v>
      </c>
      <c r="G23" s="15">
        <f t="shared" si="3"/>
        <v>1628.9850000000001</v>
      </c>
      <c r="H23" s="16">
        <f t="shared" si="3"/>
        <v>0.81500000000000006</v>
      </c>
      <c r="I23" s="16">
        <f t="shared" si="3"/>
        <v>50.77</v>
      </c>
      <c r="J23" s="16">
        <f t="shared" si="3"/>
        <v>0.158</v>
      </c>
      <c r="K23" s="16">
        <f t="shared" si="3"/>
        <v>18.500000000000004</v>
      </c>
      <c r="L23" s="15">
        <f t="shared" si="3"/>
        <v>453.15000000000003</v>
      </c>
      <c r="M23" s="15">
        <f t="shared" si="3"/>
        <v>903.96</v>
      </c>
      <c r="N23" s="15">
        <f t="shared" si="3"/>
        <v>264.86</v>
      </c>
      <c r="O23" s="15">
        <f t="shared" si="3"/>
        <v>16.48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222</v>
      </c>
      <c r="B25" s="8" t="s">
        <v>235</v>
      </c>
      <c r="C25" s="5">
        <v>80</v>
      </c>
      <c r="D25" s="9">
        <f>C25*4.61/35</f>
        <v>10.537142857142857</v>
      </c>
      <c r="E25" s="9">
        <f>C25*2.74/35</f>
        <v>6.2628571428571433</v>
      </c>
      <c r="F25" s="9">
        <f>C25*14.59/35</f>
        <v>33.348571428571432</v>
      </c>
      <c r="G25" s="9">
        <f>F25*4+E25*9+D25*4</f>
        <v>231.90857142857146</v>
      </c>
      <c r="H25" s="9">
        <f>C25*0.08/100</f>
        <v>6.4000000000000001E-2</v>
      </c>
      <c r="I25" s="10">
        <v>0</v>
      </c>
      <c r="J25" s="9">
        <f>C25*0.03/100</f>
        <v>2.4E-2</v>
      </c>
      <c r="K25" s="5">
        <f>C25*1.2/100</f>
        <v>0.96</v>
      </c>
      <c r="L25" s="9">
        <f>C25*65/100</f>
        <v>52</v>
      </c>
      <c r="M25" s="9">
        <f>C25*112/100</f>
        <v>89.6</v>
      </c>
      <c r="N25" s="9">
        <f>C25*16/100</f>
        <v>12.8</v>
      </c>
      <c r="O25" s="5">
        <f>C25*0.8/100</f>
        <v>0.64</v>
      </c>
      <c r="P25" s="6"/>
      <c r="Q25" s="4"/>
      <c r="R25" s="2"/>
    </row>
    <row r="26" spans="1:18" x14ac:dyDescent="0.25">
      <c r="A26" s="5"/>
      <c r="B26" s="8" t="s">
        <v>75</v>
      </c>
      <c r="C26" s="5">
        <v>200</v>
      </c>
      <c r="D26" s="9">
        <v>0.2</v>
      </c>
      <c r="E26" s="10">
        <v>0</v>
      </c>
      <c r="F26" s="9">
        <v>14</v>
      </c>
      <c r="G26" s="9">
        <f>F26*4+E26*9+D26*4</f>
        <v>56.8</v>
      </c>
      <c r="H26" s="10">
        <v>0</v>
      </c>
      <c r="I26" s="10">
        <v>0</v>
      </c>
      <c r="J26" s="10">
        <v>0</v>
      </c>
      <c r="K26" s="10">
        <v>0</v>
      </c>
      <c r="L26" s="9">
        <v>12</v>
      </c>
      <c r="M26" s="9">
        <v>4</v>
      </c>
      <c r="N26" s="9">
        <v>6</v>
      </c>
      <c r="O26" s="9">
        <v>0.4</v>
      </c>
      <c r="P26" s="6"/>
      <c r="Q26" s="4"/>
      <c r="R26" s="2"/>
    </row>
    <row r="27" spans="1:18" x14ac:dyDescent="0.25">
      <c r="A27" s="125"/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112"/>
    </row>
    <row r="37" spans="1:18" x14ac:dyDescent="0.25">
      <c r="A37" s="6"/>
      <c r="B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112"/>
    </row>
    <row r="38" spans="1:18" x14ac:dyDescent="0.25">
      <c r="A38" s="6"/>
      <c r="B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112"/>
    </row>
    <row r="39" spans="1:18" x14ac:dyDescent="0.25">
      <c r="A39" s="6"/>
      <c r="B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112"/>
    </row>
    <row r="40" spans="1:18" x14ac:dyDescent="0.25">
      <c r="A40" s="6"/>
      <c r="B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112"/>
    </row>
    <row r="41" spans="1:18" x14ac:dyDescent="0.25">
      <c r="A41" s="6"/>
      <c r="B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78"/>
      <c r="C42" s="60"/>
      <c r="D42" s="60"/>
      <c r="E42" s="6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 t="s">
        <v>20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6"/>
      <c r="B50" s="15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  <c r="R50" s="2"/>
    </row>
    <row r="51" spans="1:18" x14ac:dyDescent="0.25">
      <c r="A51" s="6"/>
      <c r="B51" s="15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"/>
      <c r="R51" s="2"/>
    </row>
    <row r="52" spans="1:18" x14ac:dyDescent="0.25">
      <c r="A52" s="6"/>
      <c r="B52" s="15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"/>
      <c r="R52" s="2"/>
    </row>
    <row r="53" spans="1:18" x14ac:dyDescent="0.25">
      <c r="A53" s="6"/>
      <c r="B53" s="150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  <c r="R53" s="2"/>
    </row>
    <row r="54" spans="1:18" x14ac:dyDescent="0.25">
      <c r="A54" s="6"/>
      <c r="B54" s="150"/>
      <c r="C54" s="149"/>
      <c r="D54" s="149"/>
      <c r="E54" s="14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4"/>
      <c r="R54" s="2"/>
    </row>
    <row r="55" spans="1:18" x14ac:dyDescent="0.25">
      <c r="A55" s="149"/>
      <c r="B55" s="150"/>
      <c r="C55" s="150"/>
      <c r="D55" s="150"/>
      <c r="E55" s="150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2"/>
      <c r="R55" s="2"/>
    </row>
    <row r="56" spans="1:18" x14ac:dyDescent="0.25">
      <c r="A56" s="150"/>
      <c r="B56" s="150"/>
      <c r="C56" s="150"/>
      <c r="D56" s="150"/>
      <c r="E56" s="150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8" x14ac:dyDescent="0.25">
      <c r="A57" s="150"/>
      <c r="B57" s="150"/>
      <c r="C57" s="150"/>
      <c r="D57" s="150"/>
      <c r="E57" s="150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8" x14ac:dyDescent="0.25">
      <c r="A58" s="150"/>
      <c r="B58" s="150"/>
      <c r="C58" s="150"/>
      <c r="D58" s="150"/>
      <c r="E58" s="150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8" x14ac:dyDescent="0.25">
      <c r="A59" s="150"/>
      <c r="B59" s="150"/>
      <c r="C59" s="150"/>
      <c r="D59" s="150"/>
      <c r="E59" s="150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8" x14ac:dyDescent="0.25">
      <c r="A60" s="150"/>
      <c r="B60" s="150"/>
      <c r="C60" s="150"/>
      <c r="D60" s="150"/>
      <c r="E60" s="150"/>
    </row>
    <row r="61" spans="1:18" x14ac:dyDescent="0.25">
      <c r="A61" s="150"/>
      <c r="B61" s="150"/>
      <c r="C61" s="150"/>
      <c r="D61" s="150"/>
      <c r="E61" s="150"/>
    </row>
    <row r="62" spans="1:18" x14ac:dyDescent="0.25">
      <c r="A62" s="150"/>
      <c r="B62" s="150"/>
      <c r="C62" s="150"/>
      <c r="D62" s="150"/>
      <c r="E62" s="150"/>
    </row>
    <row r="63" spans="1:18" x14ac:dyDescent="0.25">
      <c r="A63" s="150"/>
      <c r="B63" s="150"/>
      <c r="C63" s="150"/>
      <c r="D63" s="150"/>
      <c r="E63" s="150"/>
    </row>
    <row r="64" spans="1:18" x14ac:dyDescent="0.25">
      <c r="A64" s="150"/>
      <c r="B64" s="150"/>
      <c r="C64" s="150"/>
      <c r="D64" s="150"/>
      <c r="E64" s="150"/>
    </row>
    <row r="65" spans="1:5" x14ac:dyDescent="0.25">
      <c r="A65" s="150"/>
      <c r="B65" s="150"/>
      <c r="C65" s="150"/>
      <c r="D65" s="150"/>
      <c r="E65" s="150"/>
    </row>
    <row r="66" spans="1:5" x14ac:dyDescent="0.25">
      <c r="A66" s="150"/>
      <c r="B66" s="150"/>
      <c r="C66" s="150"/>
      <c r="D66" s="150"/>
      <c r="E66" s="150"/>
    </row>
  </sheetData>
  <mergeCells count="17">
    <mergeCell ref="N22:O22"/>
    <mergeCell ref="A24:O24"/>
    <mergeCell ref="L3:O3"/>
    <mergeCell ref="A10:B10"/>
    <mergeCell ref="A21:B21"/>
    <mergeCell ref="A23:B23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  <mergeCell ref="A11:O11"/>
  </mergeCells>
  <pageMargins left="0.41666666666666669" right="0.25" top="0.39583333333333331" bottom="0.75" header="0.3" footer="0.3"/>
  <pageSetup paperSize="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WhiteSpace="0" view="pageLayout" zoomScaleNormal="100" workbookViewId="0">
      <selection activeCell="N54" sqref="N54"/>
    </sheetView>
  </sheetViews>
  <sheetFormatPr defaultRowHeight="15" x14ac:dyDescent="0.25"/>
  <cols>
    <col min="1" max="1" width="9.85546875" customWidth="1"/>
    <col min="2" max="2" width="26.85546875" customWidth="1"/>
    <col min="3" max="3" width="8" customWidth="1"/>
    <col min="4" max="4" width="7.7109375" customWidth="1"/>
    <col min="5" max="5" width="7" customWidth="1"/>
    <col min="7" max="7" width="8.7109375" customWidth="1"/>
    <col min="8" max="8" width="5.7109375" customWidth="1"/>
    <col min="9" max="9" width="6.710937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275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139</v>
      </c>
      <c r="B6" s="20" t="s">
        <v>138</v>
      </c>
      <c r="C6" s="5">
        <v>250</v>
      </c>
      <c r="D6" s="9">
        <f>C6*2.88/100</f>
        <v>7.2</v>
      </c>
      <c r="E6" s="9">
        <f>C6*2.61/100</f>
        <v>6.5250000000000004</v>
      </c>
      <c r="F6" s="9">
        <f>C6*9.42/100</f>
        <v>23.55</v>
      </c>
      <c r="G6" s="9">
        <f>F6*4+E6*9+D6*4</f>
        <v>181.72500000000002</v>
      </c>
      <c r="H6" s="5">
        <v>0.08</v>
      </c>
      <c r="I6" s="9">
        <v>0.8</v>
      </c>
      <c r="J6" s="5">
        <v>2.5000000000000001E-2</v>
      </c>
      <c r="K6" s="9">
        <v>0.5</v>
      </c>
      <c r="L6" s="9">
        <v>148</v>
      </c>
      <c r="M6" s="9">
        <v>125</v>
      </c>
      <c r="N6" s="9">
        <v>20</v>
      </c>
      <c r="O6" s="9">
        <v>0.5</v>
      </c>
      <c r="P6" s="6"/>
      <c r="Q6" s="4"/>
      <c r="R6" s="2"/>
    </row>
    <row r="7" spans="1:18" ht="25.5" x14ac:dyDescent="0.25">
      <c r="A7" s="82" t="s">
        <v>259</v>
      </c>
      <c r="B7" s="20" t="s">
        <v>258</v>
      </c>
      <c r="C7" s="82">
        <v>55</v>
      </c>
      <c r="D7" s="82">
        <v>2.4900000000000002</v>
      </c>
      <c r="E7" s="83">
        <v>3.93</v>
      </c>
      <c r="F7" s="83">
        <v>27.56</v>
      </c>
      <c r="G7" s="83">
        <f>F7*4+E7*9+D7*4</f>
        <v>155.57000000000002</v>
      </c>
      <c r="H7" s="82">
        <v>0.17</v>
      </c>
      <c r="I7" s="84">
        <v>0</v>
      </c>
      <c r="J7" s="82">
        <v>0.15</v>
      </c>
      <c r="K7" s="82">
        <v>5.45</v>
      </c>
      <c r="L7" s="83">
        <v>215.99</v>
      </c>
      <c r="M7" s="83">
        <v>217</v>
      </c>
      <c r="N7" s="82">
        <v>42.91</v>
      </c>
      <c r="O7" s="82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5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85</v>
      </c>
      <c r="B9" s="8" t="s">
        <v>37</v>
      </c>
      <c r="C9" s="5">
        <v>200</v>
      </c>
      <c r="D9" s="9">
        <v>0.6</v>
      </c>
      <c r="E9" s="10">
        <v>0</v>
      </c>
      <c r="F9" s="9">
        <v>31.4</v>
      </c>
      <c r="G9" s="10">
        <f t="shared" ref="G9" si="0">F9*4+E9*9+D9*4</f>
        <v>128</v>
      </c>
      <c r="H9" s="5">
        <v>0.02</v>
      </c>
      <c r="I9" s="5">
        <v>0.73</v>
      </c>
      <c r="J9" s="10">
        <v>0</v>
      </c>
      <c r="K9" s="5">
        <v>0.51</v>
      </c>
      <c r="L9" s="5">
        <v>32.479999999999997</v>
      </c>
      <c r="M9" s="5">
        <v>23.44</v>
      </c>
      <c r="N9" s="5">
        <v>17.46</v>
      </c>
      <c r="O9" s="9">
        <v>0.7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1">SUM(D6:D9)</f>
        <v>13.290000000000001</v>
      </c>
      <c r="E10" s="16">
        <f t="shared" si="1"/>
        <v>11.615</v>
      </c>
      <c r="F10" s="16">
        <f t="shared" si="1"/>
        <v>103.07</v>
      </c>
      <c r="G10" s="16">
        <f t="shared" si="1"/>
        <v>569.97500000000014</v>
      </c>
      <c r="H10" s="16">
        <f t="shared" si="1"/>
        <v>0.314</v>
      </c>
      <c r="I10" s="15">
        <f t="shared" si="1"/>
        <v>1.53</v>
      </c>
      <c r="J10" s="16">
        <f t="shared" si="1"/>
        <v>0.17499999999999999</v>
      </c>
      <c r="K10" s="15">
        <f t="shared" si="1"/>
        <v>7.14</v>
      </c>
      <c r="L10" s="15">
        <f t="shared" si="1"/>
        <v>404.07000000000005</v>
      </c>
      <c r="M10" s="15">
        <f t="shared" si="1"/>
        <v>391.44</v>
      </c>
      <c r="N10" s="15">
        <f t="shared" si="1"/>
        <v>85.57</v>
      </c>
      <c r="O10" s="15">
        <f t="shared" si="1"/>
        <v>3.42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6"/>
      <c r="Q11" s="4"/>
      <c r="R11" s="2"/>
    </row>
    <row r="12" spans="1:18" x14ac:dyDescent="0.25">
      <c r="A12" s="5" t="s">
        <v>35</v>
      </c>
      <c r="B12" s="8" t="s">
        <v>34</v>
      </c>
      <c r="C12" s="5">
        <v>100</v>
      </c>
      <c r="D12" s="9">
        <v>2.6</v>
      </c>
      <c r="E12" s="9">
        <v>5</v>
      </c>
      <c r="F12" s="9">
        <v>3.1</v>
      </c>
      <c r="G12" s="9">
        <f>F12*4+E12*9+D12*4</f>
        <v>67.8</v>
      </c>
      <c r="H12" s="5">
        <v>0.04</v>
      </c>
      <c r="I12" s="9">
        <v>15.9</v>
      </c>
      <c r="J12" s="9">
        <v>0.06</v>
      </c>
      <c r="K12" s="9">
        <v>0.4</v>
      </c>
      <c r="L12" s="9">
        <v>46</v>
      </c>
      <c r="M12" s="9">
        <v>55</v>
      </c>
      <c r="N12" s="9">
        <v>15</v>
      </c>
      <c r="O12" s="9">
        <v>0.8</v>
      </c>
      <c r="P12" s="6"/>
      <c r="Q12" s="4"/>
      <c r="R12" s="2"/>
    </row>
    <row r="13" spans="1:18" x14ac:dyDescent="0.25">
      <c r="A13" s="5" t="s">
        <v>64</v>
      </c>
      <c r="B13" s="8" t="s">
        <v>63</v>
      </c>
      <c r="C13" s="5">
        <v>250</v>
      </c>
      <c r="D13" s="9">
        <v>6.2</v>
      </c>
      <c r="E13" s="9">
        <v>5.6</v>
      </c>
      <c r="F13" s="9">
        <v>22.3</v>
      </c>
      <c r="G13" s="9">
        <f>F13*4+E13*9+D13*4</f>
        <v>164.4</v>
      </c>
      <c r="H13" s="5">
        <v>0.13</v>
      </c>
      <c r="I13" s="9">
        <v>4.5999999999999996</v>
      </c>
      <c r="J13" s="5">
        <v>0.01</v>
      </c>
      <c r="K13" s="10">
        <v>0</v>
      </c>
      <c r="L13" s="9">
        <v>58.24</v>
      </c>
      <c r="M13" s="9">
        <v>119.71</v>
      </c>
      <c r="N13" s="9">
        <v>33.619999999999997</v>
      </c>
      <c r="O13" s="5">
        <v>1.71</v>
      </c>
      <c r="P13" s="6"/>
      <c r="Q13" s="4"/>
      <c r="R13" s="139"/>
    </row>
    <row r="14" spans="1:18" x14ac:dyDescent="0.25">
      <c r="A14" s="5" t="s">
        <v>283</v>
      </c>
      <c r="B14" s="54" t="s">
        <v>281</v>
      </c>
      <c r="C14" s="5">
        <v>180</v>
      </c>
      <c r="D14" s="9">
        <f>C14*1.9/100</f>
        <v>3.42</v>
      </c>
      <c r="E14" s="9">
        <f>C14*4.5/100</f>
        <v>8.1</v>
      </c>
      <c r="F14" s="5">
        <f>C14*10.6/100</f>
        <v>19.079999999999998</v>
      </c>
      <c r="G14" s="9">
        <f t="shared" ref="G14:G20" si="2">F14*4+E14*9+D14*4</f>
        <v>162.89999999999998</v>
      </c>
      <c r="H14" s="23">
        <f>C14*0.05/100</f>
        <v>0.09</v>
      </c>
      <c r="I14" s="35">
        <f>C14*8/100</f>
        <v>14.4</v>
      </c>
      <c r="J14" s="35">
        <v>0</v>
      </c>
      <c r="K14" s="22">
        <f>C14*1.2/100</f>
        <v>2.16</v>
      </c>
      <c r="L14" s="23">
        <f>C14*38/100</f>
        <v>68.400000000000006</v>
      </c>
      <c r="M14" s="23">
        <f>C14*65/100</f>
        <v>117</v>
      </c>
      <c r="N14" s="23">
        <f>C14*27/100</f>
        <v>48.6</v>
      </c>
      <c r="O14" s="23">
        <f>C14*0.8/100</f>
        <v>1.44</v>
      </c>
      <c r="P14" s="6"/>
      <c r="Q14" s="4"/>
      <c r="R14" s="2"/>
    </row>
    <row r="15" spans="1:18" x14ac:dyDescent="0.25">
      <c r="A15" s="5" t="s">
        <v>301</v>
      </c>
      <c r="B15" s="8" t="s">
        <v>284</v>
      </c>
      <c r="C15" s="5">
        <v>80</v>
      </c>
      <c r="D15" s="9">
        <f>C15*18.2/100</f>
        <v>14.56</v>
      </c>
      <c r="E15" s="9">
        <f>C15*15/100</f>
        <v>12</v>
      </c>
      <c r="F15" s="9">
        <f>C15*3.9/100</f>
        <v>3.12</v>
      </c>
      <c r="G15" s="5">
        <f t="shared" si="2"/>
        <v>178.72</v>
      </c>
      <c r="H15" s="23">
        <f>C15*0.08/100</f>
        <v>6.4000000000000001E-2</v>
      </c>
      <c r="I15" s="23">
        <f>C15*0.8/100</f>
        <v>0.64</v>
      </c>
      <c r="J15" s="23">
        <f>C15*0.04/100</f>
        <v>3.2000000000000001E-2</v>
      </c>
      <c r="K15" s="23">
        <f>C15*1.8/100</f>
        <v>1.44</v>
      </c>
      <c r="L15" s="23">
        <f>C15*58/100</f>
        <v>46.4</v>
      </c>
      <c r="M15" s="23">
        <f>C15*108/100</f>
        <v>86.4</v>
      </c>
      <c r="N15" s="23">
        <f>C15*30/100</f>
        <v>24</v>
      </c>
      <c r="O15" s="23">
        <f>C15*1.8/100</f>
        <v>1.44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2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2"/>
        <v>118</v>
      </c>
      <c r="H17" s="5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2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56</v>
      </c>
      <c r="B19" s="8" t="s">
        <v>55</v>
      </c>
      <c r="C19" s="5">
        <v>200</v>
      </c>
      <c r="D19" s="9">
        <v>2.7</v>
      </c>
      <c r="E19" s="9">
        <v>2.8</v>
      </c>
      <c r="F19" s="9">
        <v>22.4</v>
      </c>
      <c r="G19" s="9">
        <f>F19*4+E19*9+D19*4</f>
        <v>125.6</v>
      </c>
      <c r="H19" s="9">
        <v>0.22</v>
      </c>
      <c r="I19" s="9">
        <v>1.3</v>
      </c>
      <c r="J19" s="9">
        <v>0.02</v>
      </c>
      <c r="K19" s="10">
        <v>0</v>
      </c>
      <c r="L19" s="5">
        <v>125.78</v>
      </c>
      <c r="M19" s="9">
        <v>90</v>
      </c>
      <c r="N19" s="9">
        <v>14</v>
      </c>
      <c r="O19" s="9">
        <v>0.13</v>
      </c>
      <c r="P19" s="6"/>
      <c r="Q19" s="4"/>
      <c r="R19" s="2"/>
    </row>
    <row r="20" spans="1:18" x14ac:dyDescent="0.25">
      <c r="A20" s="5"/>
      <c r="B20" s="8" t="s">
        <v>124</v>
      </c>
      <c r="C20" s="5">
        <v>100</v>
      </c>
      <c r="D20" s="9">
        <v>0.9</v>
      </c>
      <c r="E20" s="9">
        <v>0.2</v>
      </c>
      <c r="F20" s="9">
        <v>9.5</v>
      </c>
      <c r="G20" s="9">
        <f t="shared" si="2"/>
        <v>43.4</v>
      </c>
      <c r="H20" s="5">
        <v>0.04</v>
      </c>
      <c r="I20" s="9">
        <v>60</v>
      </c>
      <c r="J20" s="10">
        <v>0</v>
      </c>
      <c r="K20" s="9">
        <v>0.2</v>
      </c>
      <c r="L20" s="9">
        <v>34</v>
      </c>
      <c r="M20" s="9">
        <v>23</v>
      </c>
      <c r="N20" s="9">
        <v>13</v>
      </c>
      <c r="O20" s="9">
        <v>0.3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5">
        <f t="shared" ref="D21:O21" si="3">SUM(D12:D20)</f>
        <v>37.650000000000006</v>
      </c>
      <c r="E21" s="16">
        <f t="shared" si="3"/>
        <v>37.419999999999995</v>
      </c>
      <c r="F21" s="15">
        <f t="shared" si="3"/>
        <v>124.63</v>
      </c>
      <c r="G21" s="16">
        <f t="shared" si="3"/>
        <v>985.89999999999986</v>
      </c>
      <c r="H21" s="16">
        <f t="shared" si="3"/>
        <v>0.71100000000000008</v>
      </c>
      <c r="I21" s="16">
        <f t="shared" si="3"/>
        <v>97.22999999999999</v>
      </c>
      <c r="J21" s="16">
        <f t="shared" si="3"/>
        <v>0.122</v>
      </c>
      <c r="K21" s="16">
        <f t="shared" si="3"/>
        <v>5.31</v>
      </c>
      <c r="L21" s="16">
        <f t="shared" si="3"/>
        <v>402.83000000000004</v>
      </c>
      <c r="M21" s="16">
        <f t="shared" si="3"/>
        <v>586.80999999999995</v>
      </c>
      <c r="N21" s="16">
        <f t="shared" si="3"/>
        <v>191.52</v>
      </c>
      <c r="O21" s="16">
        <f t="shared" si="3"/>
        <v>8.0299999999999994</v>
      </c>
      <c r="P21" s="58"/>
      <c r="Q21" s="4"/>
      <c r="R21" s="2"/>
    </row>
    <row r="22" spans="1:18" x14ac:dyDescent="0.25">
      <c r="A22" s="214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6"/>
      <c r="Q22" s="4"/>
      <c r="R22" s="2"/>
    </row>
    <row r="23" spans="1:18" x14ac:dyDescent="0.25">
      <c r="A23" s="205" t="s">
        <v>57</v>
      </c>
      <c r="B23" s="207"/>
      <c r="C23" s="5"/>
      <c r="D23" s="15">
        <f t="shared" ref="D23:O23" si="4">D10+D21</f>
        <v>50.940000000000005</v>
      </c>
      <c r="E23" s="16">
        <f t="shared" si="4"/>
        <v>49.034999999999997</v>
      </c>
      <c r="F23" s="16">
        <f t="shared" si="4"/>
        <v>227.7</v>
      </c>
      <c r="G23" s="16">
        <f t="shared" si="4"/>
        <v>1555.875</v>
      </c>
      <c r="H23" s="16">
        <f t="shared" si="4"/>
        <v>1.0250000000000001</v>
      </c>
      <c r="I23" s="16">
        <f t="shared" si="4"/>
        <v>98.759999999999991</v>
      </c>
      <c r="J23" s="16">
        <f t="shared" si="4"/>
        <v>0.29699999999999999</v>
      </c>
      <c r="K23" s="15">
        <f t="shared" si="4"/>
        <v>12.45</v>
      </c>
      <c r="L23" s="16">
        <f t="shared" si="4"/>
        <v>806.90000000000009</v>
      </c>
      <c r="M23" s="16">
        <f t="shared" si="4"/>
        <v>978.25</v>
      </c>
      <c r="N23" s="15">
        <f t="shared" si="4"/>
        <v>277.09000000000003</v>
      </c>
      <c r="O23" s="16">
        <f t="shared" si="4"/>
        <v>11.45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6"/>
      <c r="Q24" s="4"/>
      <c r="R24" s="2"/>
    </row>
    <row r="25" spans="1:18" x14ac:dyDescent="0.25">
      <c r="A25" s="5" t="s">
        <v>242</v>
      </c>
      <c r="B25" s="8" t="s">
        <v>241</v>
      </c>
      <c r="C25" s="5">
        <v>80</v>
      </c>
      <c r="D25" s="5">
        <f>C25*3.67/40</f>
        <v>7.3400000000000007</v>
      </c>
      <c r="E25" s="9">
        <f>C25*5.65/40</f>
        <v>11.3</v>
      </c>
      <c r="F25" s="9">
        <f>C25*20.12/40</f>
        <v>40.24</v>
      </c>
      <c r="G25" s="9">
        <f>F25*4+E25*9+D25*4</f>
        <v>292.02000000000004</v>
      </c>
      <c r="H25" s="9">
        <f>C25*0.08/100</f>
        <v>6.4000000000000001E-2</v>
      </c>
      <c r="I25" s="10">
        <v>0</v>
      </c>
      <c r="J25" s="9">
        <f>C25*0.03/100</f>
        <v>2.4E-2</v>
      </c>
      <c r="K25" s="5">
        <f>C25*1.2/100</f>
        <v>0.96</v>
      </c>
      <c r="L25" s="9">
        <f>C25*65/100</f>
        <v>52</v>
      </c>
      <c r="M25" s="9">
        <f>C25*112/100</f>
        <v>89.6</v>
      </c>
      <c r="N25" s="9">
        <f>C25*16/100</f>
        <v>12.8</v>
      </c>
      <c r="O25" s="5">
        <f>C25*0.8/100</f>
        <v>0.64</v>
      </c>
      <c r="P25" s="6"/>
      <c r="Q25" s="4"/>
      <c r="R25" s="2"/>
    </row>
    <row r="26" spans="1:18" x14ac:dyDescent="0.25">
      <c r="A26" s="125"/>
      <c r="B26" s="126" t="s">
        <v>75</v>
      </c>
      <c r="C26" s="125">
        <v>200</v>
      </c>
      <c r="D26" s="151">
        <v>0.2</v>
      </c>
      <c r="E26" s="152">
        <v>0</v>
      </c>
      <c r="F26" s="151">
        <v>14</v>
      </c>
      <c r="G26" s="151">
        <f>F26*4+E26*9+D26*4</f>
        <v>56.8</v>
      </c>
      <c r="H26" s="152">
        <v>0</v>
      </c>
      <c r="I26" s="152">
        <v>0</v>
      </c>
      <c r="J26" s="152">
        <v>0</v>
      </c>
      <c r="K26" s="152">
        <v>0</v>
      </c>
      <c r="L26" s="151">
        <v>12</v>
      </c>
      <c r="M26" s="151">
        <v>4</v>
      </c>
      <c r="N26" s="151">
        <v>6</v>
      </c>
      <c r="O26" s="151">
        <v>0.4</v>
      </c>
      <c r="P26" s="6"/>
      <c r="Q26" s="4"/>
      <c r="R26" s="2"/>
    </row>
    <row r="27" spans="1:18" x14ac:dyDescent="0.25">
      <c r="A27" s="127"/>
      <c r="B27" s="128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6"/>
      <c r="Q27" s="4"/>
      <c r="R27" s="2"/>
    </row>
    <row r="28" spans="1:18" x14ac:dyDescent="0.25">
      <c r="A28" s="213" t="s">
        <v>303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6"/>
      <c r="Q28" s="4"/>
      <c r="R28" s="2"/>
    </row>
    <row r="29" spans="1:18" ht="15" customHeight="1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6"/>
      <c r="Q29" s="4"/>
      <c r="R29" s="2"/>
    </row>
    <row r="30" spans="1:18" x14ac:dyDescent="0.25">
      <c r="A30" s="213" t="s">
        <v>304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6"/>
      <c r="Q30" s="4"/>
      <c r="R30" s="112"/>
    </row>
    <row r="31" spans="1:18" ht="15" customHeight="1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112"/>
    </row>
    <row r="37" spans="1:18" x14ac:dyDescent="0.25">
      <c r="A37" s="6"/>
      <c r="B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112"/>
    </row>
    <row r="38" spans="1:18" x14ac:dyDescent="0.25">
      <c r="A38" s="6"/>
      <c r="B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112"/>
    </row>
    <row r="39" spans="1:18" x14ac:dyDescent="0.25">
      <c r="A39" s="6"/>
      <c r="B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112"/>
    </row>
    <row r="40" spans="1:18" x14ac:dyDescent="0.25">
      <c r="A40" s="6"/>
      <c r="B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78"/>
      <c r="C41" s="60"/>
      <c r="D41" s="60"/>
      <c r="E41" s="6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6"/>
      <c r="B50" s="15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  <c r="R50" s="2"/>
    </row>
    <row r="51" spans="1:18" x14ac:dyDescent="0.25">
      <c r="A51" s="6"/>
      <c r="B51" s="15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"/>
      <c r="R51" s="2"/>
    </row>
    <row r="52" spans="1:18" x14ac:dyDescent="0.25">
      <c r="A52" s="6"/>
      <c r="B52" s="15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"/>
      <c r="R52" s="2"/>
    </row>
    <row r="53" spans="1:18" x14ac:dyDescent="0.25">
      <c r="A53" s="6"/>
      <c r="B53" s="150"/>
      <c r="C53" s="149"/>
      <c r="D53" s="149"/>
      <c r="E53" s="14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  <c r="R53" s="2"/>
    </row>
    <row r="54" spans="1:18" x14ac:dyDescent="0.25">
      <c r="A54" s="149"/>
      <c r="B54" s="150"/>
      <c r="C54" s="150"/>
      <c r="D54" s="150"/>
      <c r="E54" s="150"/>
      <c r="F54" s="14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2"/>
      <c r="R54" s="2"/>
    </row>
    <row r="55" spans="1:18" x14ac:dyDescent="0.25">
      <c r="A55" s="150"/>
      <c r="B55" s="150"/>
      <c r="C55" s="150"/>
      <c r="D55" s="150"/>
      <c r="E55" s="150"/>
      <c r="F55" s="150"/>
      <c r="G55" s="2"/>
      <c r="H55" s="2"/>
      <c r="I55" s="2"/>
      <c r="J55" s="2"/>
      <c r="K55" s="2"/>
      <c r="L55" s="2"/>
      <c r="M55" s="2"/>
      <c r="N55" s="2"/>
      <c r="O55" s="2"/>
    </row>
    <row r="56" spans="1:18" x14ac:dyDescent="0.25">
      <c r="A56" s="150"/>
      <c r="B56" s="150"/>
      <c r="C56" s="150"/>
      <c r="D56" s="150"/>
      <c r="E56" s="150"/>
      <c r="F56" s="150"/>
      <c r="G56" s="2"/>
      <c r="H56" s="2"/>
      <c r="I56" s="2"/>
      <c r="J56" s="2"/>
      <c r="K56" s="2"/>
      <c r="L56" s="2"/>
      <c r="M56" s="2"/>
      <c r="N56" s="2"/>
      <c r="O56" s="2"/>
    </row>
    <row r="57" spans="1:18" x14ac:dyDescent="0.25">
      <c r="A57" s="150"/>
      <c r="B57" s="150"/>
      <c r="C57" s="150"/>
      <c r="D57" s="150"/>
      <c r="E57" s="150"/>
      <c r="F57" s="150"/>
      <c r="G57" s="2"/>
      <c r="H57" s="2"/>
      <c r="I57" s="2"/>
      <c r="J57" s="2"/>
      <c r="K57" s="2"/>
      <c r="L57" s="2"/>
      <c r="M57" s="2"/>
      <c r="N57" s="2"/>
      <c r="O57" s="2"/>
    </row>
    <row r="58" spans="1:18" x14ac:dyDescent="0.25">
      <c r="A58" s="150"/>
      <c r="B58" s="150"/>
      <c r="C58" s="150"/>
      <c r="D58" s="150"/>
      <c r="E58" s="150"/>
      <c r="F58" s="150"/>
      <c r="G58" s="2"/>
      <c r="H58" s="2"/>
      <c r="I58" s="2"/>
      <c r="J58" s="2"/>
      <c r="K58" s="2"/>
      <c r="L58" s="2"/>
      <c r="M58" s="2"/>
      <c r="N58" s="2"/>
      <c r="O58" s="2"/>
    </row>
    <row r="59" spans="1:18" x14ac:dyDescent="0.25">
      <c r="A59" s="150"/>
      <c r="B59" s="150"/>
      <c r="C59" s="150"/>
      <c r="D59" s="150"/>
      <c r="E59" s="150"/>
      <c r="F59" s="150"/>
    </row>
    <row r="60" spans="1:18" x14ac:dyDescent="0.25">
      <c r="A60" s="150"/>
      <c r="B60" s="150"/>
      <c r="C60" s="150"/>
      <c r="D60" s="150"/>
      <c r="E60" s="150"/>
      <c r="F60" s="150"/>
    </row>
    <row r="61" spans="1:18" x14ac:dyDescent="0.25">
      <c r="A61" s="150"/>
      <c r="B61" s="150"/>
      <c r="C61" s="150"/>
      <c r="D61" s="150"/>
      <c r="E61" s="150"/>
      <c r="F61" s="150"/>
    </row>
    <row r="62" spans="1:18" x14ac:dyDescent="0.25">
      <c r="A62" s="150"/>
      <c r="B62" s="150"/>
      <c r="C62" s="150"/>
      <c r="D62" s="150"/>
      <c r="E62" s="150"/>
      <c r="F62" s="150"/>
    </row>
    <row r="63" spans="1:18" x14ac:dyDescent="0.25">
      <c r="A63" s="150"/>
      <c r="B63" s="150"/>
      <c r="C63" s="150"/>
      <c r="D63" s="150"/>
      <c r="E63" s="150"/>
      <c r="F63" s="150"/>
    </row>
    <row r="64" spans="1:18" x14ac:dyDescent="0.25">
      <c r="A64" s="150"/>
      <c r="B64" s="150"/>
      <c r="C64" s="150"/>
      <c r="D64" s="150"/>
      <c r="E64" s="150"/>
      <c r="F64" s="150"/>
    </row>
    <row r="65" spans="1:6" x14ac:dyDescent="0.25">
      <c r="A65" s="150"/>
      <c r="B65" s="150"/>
      <c r="C65" s="150"/>
      <c r="D65" s="150"/>
      <c r="E65" s="150"/>
      <c r="F65" s="150"/>
    </row>
    <row r="66" spans="1:6" x14ac:dyDescent="0.25">
      <c r="A66" s="150"/>
      <c r="B66" s="150"/>
      <c r="C66" s="150"/>
      <c r="D66" s="150"/>
      <c r="E66" s="150"/>
      <c r="F66" s="150"/>
    </row>
  </sheetData>
  <mergeCells count="19">
    <mergeCell ref="A28:O29"/>
    <mergeCell ref="A30:O31"/>
    <mergeCell ref="A22:O22"/>
    <mergeCell ref="A24:O24"/>
    <mergeCell ref="A21:B21"/>
    <mergeCell ref="A23:B23"/>
    <mergeCell ref="C1:F1"/>
    <mergeCell ref="J1:O1"/>
    <mergeCell ref="C2:G2"/>
    <mergeCell ref="J2:O2"/>
    <mergeCell ref="A11:O11"/>
    <mergeCell ref="L3:O3"/>
    <mergeCell ref="A10:B10"/>
    <mergeCell ref="A3:A4"/>
    <mergeCell ref="B3:B4"/>
    <mergeCell ref="C3:C4"/>
    <mergeCell ref="D3:F3"/>
    <mergeCell ref="G3:G4"/>
    <mergeCell ref="H3:K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workbookViewId="0">
      <selection activeCell="J25" sqref="J25"/>
    </sheetView>
  </sheetViews>
  <sheetFormatPr defaultRowHeight="15" x14ac:dyDescent="0.25"/>
  <cols>
    <col min="1" max="1" width="20.28515625" customWidth="1"/>
    <col min="2" max="2" width="8.140625" customWidth="1"/>
    <col min="3" max="4" width="8.5703125" customWidth="1"/>
    <col min="5" max="5" width="7.85546875" customWidth="1"/>
    <col min="6" max="6" width="9" customWidth="1"/>
    <col min="7" max="7" width="8.7109375" customWidth="1"/>
    <col min="8" max="8" width="8.85546875" customWidth="1"/>
    <col min="9" max="9" width="9.28515625" customWidth="1"/>
    <col min="10" max="10" width="9.140625" customWidth="1"/>
    <col min="11" max="11" width="8" customWidth="1"/>
    <col min="12" max="12" width="8.42578125" customWidth="1"/>
    <col min="13" max="13" width="8.140625" customWidth="1"/>
    <col min="14" max="14" width="10.5703125" customWidth="1"/>
    <col min="15" max="15" width="7.85546875" customWidth="1"/>
    <col min="16" max="16" width="13.28515625" customWidth="1"/>
    <col min="17" max="17" width="6.42578125" customWidth="1"/>
    <col min="18" max="18" width="9.85546875" customWidth="1"/>
    <col min="19" max="19" width="4.85546875" customWidth="1"/>
    <col min="20" max="20" width="5.5703125" customWidth="1"/>
    <col min="21" max="22" width="5" customWidth="1"/>
    <col min="23" max="23" width="4.7109375" customWidth="1"/>
    <col min="24" max="24" width="3.85546875" customWidth="1"/>
    <col min="25" max="25" width="4.85546875" customWidth="1"/>
    <col min="26" max="26" width="4" customWidth="1"/>
    <col min="27" max="27" width="5.28515625" customWidth="1"/>
    <col min="28" max="28" width="5" customWidth="1"/>
    <col min="29" max="29" width="4.7109375" customWidth="1"/>
    <col min="30" max="30" width="5" customWidth="1"/>
    <col min="31" max="31" width="5.28515625" customWidth="1"/>
    <col min="32" max="32" width="4.5703125" customWidth="1"/>
    <col min="33" max="33" width="4.7109375" customWidth="1"/>
    <col min="35" max="35" width="7.85546875" customWidth="1"/>
    <col min="36" max="36" width="5.85546875" customWidth="1"/>
    <col min="37" max="37" width="14.7109375" customWidth="1"/>
    <col min="38" max="38" width="9.42578125" customWidth="1"/>
    <col min="39" max="39" width="13.5703125" customWidth="1"/>
    <col min="40" max="40" width="13.7109375" customWidth="1"/>
    <col min="41" max="41" width="14.42578125" customWidth="1"/>
    <col min="44" max="44" width="13.7109375" customWidth="1"/>
    <col min="45" max="45" width="15.140625" customWidth="1"/>
    <col min="46" max="46" width="10.85546875" customWidth="1"/>
    <col min="47" max="47" width="14.7109375" customWidth="1"/>
  </cols>
  <sheetData>
    <row r="1" spans="1:50" ht="10.5" customHeight="1" x14ac:dyDescent="0.25"/>
    <row r="2" spans="1:50" x14ac:dyDescent="0.25">
      <c r="A2" s="2"/>
      <c r="B2" s="3"/>
      <c r="C2" s="2"/>
      <c r="D2" s="8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AJ2" s="43"/>
      <c r="AK2" s="43"/>
      <c r="AV2" s="2"/>
      <c r="AW2" s="2"/>
      <c r="AX2" s="2"/>
    </row>
    <row r="3" spans="1:50" x14ac:dyDescent="0.25">
      <c r="A3" s="2"/>
      <c r="B3" s="3"/>
      <c r="C3" s="2"/>
      <c r="D3" s="8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V3" s="2"/>
      <c r="AW3" s="2"/>
      <c r="AX3" s="2"/>
    </row>
    <row r="4" spans="1:50" x14ac:dyDescent="0.25">
      <c r="A4" s="2"/>
      <c r="B4" s="55"/>
      <c r="C4" s="55"/>
      <c r="D4" s="79"/>
      <c r="E4" s="55"/>
      <c r="F4" s="55"/>
      <c r="G4" s="55"/>
      <c r="H4" s="55"/>
      <c r="I4" s="55"/>
      <c r="J4" s="55"/>
      <c r="K4" s="55"/>
      <c r="L4" s="55"/>
      <c r="M4" s="55"/>
      <c r="N4" s="2"/>
      <c r="O4" s="2"/>
    </row>
    <row r="5" spans="1:50" x14ac:dyDescent="0.25">
      <c r="A5" s="34" t="s">
        <v>243</v>
      </c>
      <c r="B5" s="62">
        <v>1</v>
      </c>
      <c r="C5" s="62">
        <v>2</v>
      </c>
      <c r="D5" s="62">
        <v>3</v>
      </c>
      <c r="E5" s="62">
        <v>4</v>
      </c>
      <c r="F5" s="62">
        <v>5</v>
      </c>
      <c r="G5" s="62">
        <v>6</v>
      </c>
      <c r="H5" s="62">
        <v>7</v>
      </c>
      <c r="I5" s="62">
        <v>8</v>
      </c>
      <c r="J5" s="62">
        <v>9</v>
      </c>
      <c r="K5" s="62">
        <v>10</v>
      </c>
      <c r="L5" s="62">
        <v>11</v>
      </c>
      <c r="M5" s="62">
        <v>12</v>
      </c>
      <c r="N5" s="141" t="s">
        <v>244</v>
      </c>
      <c r="O5" s="1"/>
      <c r="P5" s="71" t="s">
        <v>248</v>
      </c>
      <c r="Q5" s="21"/>
      <c r="R5" s="143" t="s">
        <v>249</v>
      </c>
      <c r="S5" s="1"/>
      <c r="T5" s="1"/>
    </row>
    <row r="6" spans="1:50" x14ac:dyDescent="0.25">
      <c r="A6" s="1" t="s">
        <v>22</v>
      </c>
      <c r="B6" s="66">
        <v>51.69</v>
      </c>
      <c r="C6" s="67">
        <v>48.49</v>
      </c>
      <c r="D6" s="67">
        <v>55.68</v>
      </c>
      <c r="E6" s="67">
        <v>41.97</v>
      </c>
      <c r="F6" s="67">
        <v>50.8</v>
      </c>
      <c r="G6" s="68">
        <v>46.96</v>
      </c>
      <c r="H6" s="68">
        <v>64.42</v>
      </c>
      <c r="I6" s="68">
        <v>68.2</v>
      </c>
      <c r="J6" s="67">
        <v>47.86</v>
      </c>
      <c r="K6" s="67">
        <v>50.18</v>
      </c>
      <c r="L6" s="67">
        <v>43.08</v>
      </c>
      <c r="M6" s="68">
        <v>50.94</v>
      </c>
      <c r="N6" s="142">
        <f>SUM(B6:M6)/12</f>
        <v>51.689166666666665</v>
      </c>
      <c r="O6" s="67"/>
      <c r="P6" s="65">
        <f>N6*100/R6</f>
        <v>67.128787878787875</v>
      </c>
      <c r="Q6" s="67"/>
      <c r="R6" s="142">
        <v>77</v>
      </c>
      <c r="S6" s="67"/>
      <c r="T6" s="1"/>
    </row>
    <row r="7" spans="1:50" x14ac:dyDescent="0.25">
      <c r="A7" s="1" t="s">
        <v>21</v>
      </c>
      <c r="B7" s="66">
        <v>50.48</v>
      </c>
      <c r="C7" s="67">
        <v>49.18</v>
      </c>
      <c r="D7" s="67">
        <v>55.56</v>
      </c>
      <c r="E7" s="67">
        <v>48.99</v>
      </c>
      <c r="F7" s="67">
        <v>46.51</v>
      </c>
      <c r="G7" s="67">
        <v>42.9</v>
      </c>
      <c r="H7" s="67">
        <v>46.87</v>
      </c>
      <c r="I7" s="67">
        <v>47.83</v>
      </c>
      <c r="J7" s="67">
        <v>52.76</v>
      </c>
      <c r="K7" s="67">
        <v>43.03</v>
      </c>
      <c r="L7" s="68">
        <v>63.97</v>
      </c>
      <c r="M7" s="67">
        <v>49.04</v>
      </c>
      <c r="N7" s="142">
        <f t="shared" ref="N7:N17" si="0">SUM(B7:M7)/12</f>
        <v>49.76</v>
      </c>
      <c r="O7" s="67"/>
      <c r="P7" s="65">
        <f t="shared" ref="P7:P17" si="1">N7*100/R7</f>
        <v>62.9873417721519</v>
      </c>
      <c r="Q7" s="67"/>
      <c r="R7" s="142">
        <v>79</v>
      </c>
      <c r="S7" s="67"/>
      <c r="T7" s="1"/>
    </row>
    <row r="8" spans="1:50" x14ac:dyDescent="0.25">
      <c r="A8" s="1" t="s">
        <v>23</v>
      </c>
      <c r="B8" s="66">
        <v>246.44</v>
      </c>
      <c r="C8" s="68">
        <v>241.96</v>
      </c>
      <c r="D8" s="67">
        <v>228.28</v>
      </c>
      <c r="E8" s="68">
        <v>241.57</v>
      </c>
      <c r="F8" s="67">
        <v>215.43</v>
      </c>
      <c r="G8" s="67">
        <v>239.6</v>
      </c>
      <c r="H8" s="67">
        <v>225.32</v>
      </c>
      <c r="I8" s="68">
        <v>226.11</v>
      </c>
      <c r="J8" s="67">
        <v>240.86</v>
      </c>
      <c r="K8" s="67">
        <v>228.58</v>
      </c>
      <c r="L8" s="67">
        <v>220.25</v>
      </c>
      <c r="M8" s="67">
        <v>227.7</v>
      </c>
      <c r="N8" s="142">
        <f t="shared" si="0"/>
        <v>231.84166666666667</v>
      </c>
      <c r="O8" s="67"/>
      <c r="P8" s="65">
        <f t="shared" si="1"/>
        <v>69.206467661691548</v>
      </c>
      <c r="Q8" s="67"/>
      <c r="R8" s="142">
        <v>335</v>
      </c>
      <c r="S8" s="67"/>
      <c r="T8" s="1"/>
    </row>
    <row r="9" spans="1:50" x14ac:dyDescent="0.25">
      <c r="A9" s="1" t="s">
        <v>24</v>
      </c>
      <c r="B9" s="66">
        <v>1646.78</v>
      </c>
      <c r="C9" s="67">
        <v>1604.42</v>
      </c>
      <c r="D9" s="67">
        <v>1635.88</v>
      </c>
      <c r="E9" s="67">
        <v>1575.01</v>
      </c>
      <c r="F9" s="67">
        <v>1483.51</v>
      </c>
      <c r="G9" s="67">
        <v>1532.26</v>
      </c>
      <c r="H9" s="67">
        <v>1581.58</v>
      </c>
      <c r="I9" s="67">
        <v>1607.71</v>
      </c>
      <c r="J9" s="68">
        <v>1629.7</v>
      </c>
      <c r="K9" s="67">
        <v>1502.31</v>
      </c>
      <c r="L9" s="67">
        <v>1628.99</v>
      </c>
      <c r="M9" s="68">
        <v>1555.88</v>
      </c>
      <c r="N9" s="142">
        <f t="shared" si="0"/>
        <v>1582.0025000000003</v>
      </c>
      <c r="O9" s="67"/>
      <c r="P9" s="65">
        <f t="shared" si="1"/>
        <v>67.319255319148951</v>
      </c>
      <c r="Q9" s="67"/>
      <c r="R9" s="142">
        <v>2350</v>
      </c>
      <c r="S9" s="67"/>
      <c r="T9" s="1"/>
    </row>
    <row r="10" spans="1:50" x14ac:dyDescent="0.25">
      <c r="A10" s="1" t="s">
        <v>10</v>
      </c>
      <c r="B10" s="67">
        <v>0.93</v>
      </c>
      <c r="C10" s="67">
        <v>0.79</v>
      </c>
      <c r="D10" s="67">
        <v>0.65</v>
      </c>
      <c r="E10" s="67">
        <v>0.65</v>
      </c>
      <c r="F10" s="68">
        <v>0.46</v>
      </c>
      <c r="G10" s="68">
        <v>0.71</v>
      </c>
      <c r="H10" s="67">
        <v>1.1399999999999999</v>
      </c>
      <c r="I10" s="68">
        <v>0.74</v>
      </c>
      <c r="J10" s="67">
        <v>0.73</v>
      </c>
      <c r="K10" s="67">
        <v>0.73</v>
      </c>
      <c r="L10" s="67">
        <v>0.82</v>
      </c>
      <c r="M10" s="67">
        <v>1.03</v>
      </c>
      <c r="N10" s="142">
        <f t="shared" si="0"/>
        <v>0.78166666666666662</v>
      </c>
      <c r="O10" s="67"/>
      <c r="P10" s="65">
        <f t="shared" si="1"/>
        <v>65.138888888888886</v>
      </c>
      <c r="Q10" s="67"/>
      <c r="R10" s="142">
        <v>1.2</v>
      </c>
      <c r="S10" s="67"/>
      <c r="T10" s="1"/>
    </row>
    <row r="11" spans="1:50" x14ac:dyDescent="0.25">
      <c r="A11" s="1" t="s">
        <v>11</v>
      </c>
      <c r="B11" s="68">
        <v>46.22</v>
      </c>
      <c r="C11" s="67">
        <v>35.99</v>
      </c>
      <c r="D11" s="67">
        <v>81.400000000000006</v>
      </c>
      <c r="E11" s="67">
        <v>36.26</v>
      </c>
      <c r="F11" s="67">
        <v>51.98</v>
      </c>
      <c r="G11" s="67">
        <v>33.04</v>
      </c>
      <c r="H11" s="67">
        <v>34.24</v>
      </c>
      <c r="I11" s="67">
        <v>84.18</v>
      </c>
      <c r="J11" s="67">
        <v>49.93</v>
      </c>
      <c r="K11" s="67">
        <v>20.49</v>
      </c>
      <c r="L11" s="67">
        <v>50.77</v>
      </c>
      <c r="M11" s="68">
        <v>98.7</v>
      </c>
      <c r="N11" s="142">
        <f t="shared" si="0"/>
        <v>51.933333333333337</v>
      </c>
      <c r="O11" s="67"/>
      <c r="P11" s="65">
        <f t="shared" si="1"/>
        <v>86.555555555555571</v>
      </c>
      <c r="Q11" s="67"/>
      <c r="R11" s="142">
        <v>60</v>
      </c>
      <c r="S11" s="67"/>
      <c r="T11" s="1"/>
    </row>
    <row r="12" spans="1:50" x14ac:dyDescent="0.25">
      <c r="A12" s="1" t="s">
        <v>12</v>
      </c>
      <c r="B12" s="67">
        <v>0.36</v>
      </c>
      <c r="C12" s="69">
        <v>0.06</v>
      </c>
      <c r="D12" s="67">
        <v>0.39</v>
      </c>
      <c r="E12" s="67">
        <v>0.36</v>
      </c>
      <c r="F12" s="67">
        <v>1.21</v>
      </c>
      <c r="G12" s="67">
        <v>0.21</v>
      </c>
      <c r="H12" s="67">
        <v>0.27</v>
      </c>
      <c r="I12" s="67">
        <v>0.06</v>
      </c>
      <c r="J12" s="68">
        <v>1.24</v>
      </c>
      <c r="K12" s="68">
        <v>0.97</v>
      </c>
      <c r="L12" s="67">
        <v>0.16</v>
      </c>
      <c r="M12" s="68">
        <v>0.3</v>
      </c>
      <c r="N12" s="142">
        <f t="shared" si="0"/>
        <v>0.46583333333333332</v>
      </c>
      <c r="O12" s="67"/>
      <c r="P12" s="65">
        <f t="shared" si="1"/>
        <v>66.547619047619051</v>
      </c>
      <c r="Q12" s="67"/>
      <c r="R12" s="142">
        <v>0.7</v>
      </c>
      <c r="S12" s="67"/>
      <c r="T12" s="1"/>
    </row>
    <row r="13" spans="1:50" x14ac:dyDescent="0.25">
      <c r="A13" s="1" t="s">
        <v>13</v>
      </c>
      <c r="B13" s="68">
        <v>10.47</v>
      </c>
      <c r="C13" s="67">
        <v>8.31</v>
      </c>
      <c r="D13" s="68">
        <v>6.4</v>
      </c>
      <c r="E13" s="67">
        <v>13.94</v>
      </c>
      <c r="F13" s="67">
        <v>11.21</v>
      </c>
      <c r="G13" s="67">
        <v>10.83</v>
      </c>
      <c r="H13" s="67">
        <v>12.73</v>
      </c>
      <c r="I13" s="67">
        <v>4.91</v>
      </c>
      <c r="J13" s="140">
        <v>6</v>
      </c>
      <c r="K13" s="68">
        <v>19.66</v>
      </c>
      <c r="L13" s="68">
        <v>18.5</v>
      </c>
      <c r="M13" s="67">
        <v>12.45</v>
      </c>
      <c r="N13" s="142">
        <f t="shared" si="0"/>
        <v>11.284166666666666</v>
      </c>
      <c r="O13" s="67"/>
      <c r="P13" s="65">
        <f t="shared" si="1"/>
        <v>112.84166666666665</v>
      </c>
      <c r="Q13" s="67"/>
      <c r="R13" s="142">
        <v>10</v>
      </c>
      <c r="S13" s="67"/>
      <c r="T13" s="1"/>
    </row>
    <row r="14" spans="1:50" x14ac:dyDescent="0.25">
      <c r="A14" s="1" t="s">
        <v>14</v>
      </c>
      <c r="B14" s="68">
        <v>716.32</v>
      </c>
      <c r="C14" s="67">
        <v>355.39</v>
      </c>
      <c r="D14" s="68">
        <v>332.34</v>
      </c>
      <c r="E14" s="67">
        <v>568.51</v>
      </c>
      <c r="F14" s="67">
        <v>535.38</v>
      </c>
      <c r="G14" s="67">
        <v>551.30999999999995</v>
      </c>
      <c r="H14" s="68">
        <v>490.6</v>
      </c>
      <c r="I14" s="67">
        <v>518.94000000000005</v>
      </c>
      <c r="J14" s="67">
        <v>440.99</v>
      </c>
      <c r="K14" s="68">
        <v>453.5</v>
      </c>
      <c r="L14" s="67">
        <v>453.15</v>
      </c>
      <c r="M14" s="68">
        <v>806.9</v>
      </c>
      <c r="N14" s="142">
        <f t="shared" si="0"/>
        <v>518.61083333333329</v>
      </c>
      <c r="O14" s="67"/>
      <c r="P14" s="65">
        <f t="shared" si="1"/>
        <v>47.146439393939389</v>
      </c>
      <c r="Q14" s="67"/>
      <c r="R14" s="142">
        <v>1100</v>
      </c>
      <c r="S14" s="67"/>
      <c r="T14" s="1"/>
    </row>
    <row r="15" spans="1:50" x14ac:dyDescent="0.25">
      <c r="A15" s="1" t="s">
        <v>15</v>
      </c>
      <c r="B15" s="68">
        <v>1059.7</v>
      </c>
      <c r="C15" s="68">
        <v>715.9</v>
      </c>
      <c r="D15" s="67">
        <v>958.55</v>
      </c>
      <c r="E15" s="67">
        <v>729.04</v>
      </c>
      <c r="F15" s="68">
        <v>644.66999999999996</v>
      </c>
      <c r="G15" s="68">
        <v>1006.31</v>
      </c>
      <c r="H15" s="68">
        <v>965.5</v>
      </c>
      <c r="I15" s="67">
        <v>948.64</v>
      </c>
      <c r="J15" s="67">
        <v>700.67</v>
      </c>
      <c r="K15" s="67">
        <v>828.96</v>
      </c>
      <c r="L15" s="67">
        <v>903.96</v>
      </c>
      <c r="M15" s="67">
        <v>978.25</v>
      </c>
      <c r="N15" s="142">
        <f t="shared" si="0"/>
        <v>870.01250000000016</v>
      </c>
      <c r="O15" s="67"/>
      <c r="P15" s="65">
        <f t="shared" si="1"/>
        <v>52.728030303030309</v>
      </c>
      <c r="Q15" s="67"/>
      <c r="R15" s="142">
        <v>1650</v>
      </c>
      <c r="S15" s="67"/>
      <c r="T15" s="1"/>
    </row>
    <row r="16" spans="1:50" x14ac:dyDescent="0.25">
      <c r="A16" s="1" t="s">
        <v>25</v>
      </c>
      <c r="B16" s="68">
        <v>252.23</v>
      </c>
      <c r="C16" s="68">
        <v>270.89999999999998</v>
      </c>
      <c r="D16" s="67">
        <v>185.22</v>
      </c>
      <c r="E16" s="67">
        <v>260.11</v>
      </c>
      <c r="F16" s="67">
        <v>220.31</v>
      </c>
      <c r="G16" s="67">
        <v>227.39</v>
      </c>
      <c r="H16" s="67">
        <v>291.76</v>
      </c>
      <c r="I16" s="67">
        <v>218.44</v>
      </c>
      <c r="J16" s="67">
        <v>267.91000000000003</v>
      </c>
      <c r="K16" s="67">
        <v>282.85000000000002</v>
      </c>
      <c r="L16" s="67">
        <v>264.86</v>
      </c>
      <c r="M16" s="67">
        <v>277.08999999999997</v>
      </c>
      <c r="N16" s="142">
        <f t="shared" si="0"/>
        <v>251.58916666666667</v>
      </c>
      <c r="O16" s="67"/>
      <c r="P16" s="65">
        <f t="shared" si="1"/>
        <v>100.63566666666667</v>
      </c>
      <c r="Q16" s="67"/>
      <c r="R16" s="142">
        <v>250</v>
      </c>
      <c r="S16" s="67"/>
      <c r="T16" s="1"/>
    </row>
    <row r="17" spans="1:22" x14ac:dyDescent="0.25">
      <c r="A17" s="1" t="s">
        <v>17</v>
      </c>
      <c r="B17" s="68">
        <v>13.19</v>
      </c>
      <c r="C17" s="68">
        <v>10.31</v>
      </c>
      <c r="D17" s="67">
        <v>14.79</v>
      </c>
      <c r="E17" s="67">
        <v>13.34</v>
      </c>
      <c r="F17" s="67">
        <v>12.89</v>
      </c>
      <c r="G17" s="67">
        <v>13.88</v>
      </c>
      <c r="H17" s="67">
        <v>20.52</v>
      </c>
      <c r="I17" s="67">
        <v>7.75</v>
      </c>
      <c r="J17" s="67">
        <v>13.43</v>
      </c>
      <c r="K17" s="67">
        <v>11.67</v>
      </c>
      <c r="L17" s="67">
        <v>16.48</v>
      </c>
      <c r="M17" s="67">
        <v>11.45</v>
      </c>
      <c r="N17" s="142">
        <f t="shared" si="0"/>
        <v>13.30833333333333</v>
      </c>
      <c r="O17" s="67"/>
      <c r="P17" s="65">
        <f t="shared" si="1"/>
        <v>110.90277777777776</v>
      </c>
      <c r="Q17" s="67"/>
      <c r="R17" s="142">
        <v>12</v>
      </c>
      <c r="S17" s="67"/>
      <c r="T17" s="1"/>
    </row>
    <row r="18" spans="1:22" x14ac:dyDescent="0.25">
      <c r="A18" s="1" t="s">
        <v>69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70"/>
      <c r="Q18" s="67"/>
      <c r="R18" s="67"/>
      <c r="S18" s="67"/>
      <c r="T18" s="1"/>
    </row>
    <row r="19" spans="1:22" x14ac:dyDescent="0.25">
      <c r="A19" s="1" t="s">
        <v>70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70"/>
      <c r="Q19" s="67"/>
      <c r="R19" s="67"/>
      <c r="S19" s="67"/>
      <c r="T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  <c r="V20" s="2"/>
    </row>
    <row r="21" spans="1:22" x14ac:dyDescent="0.25">
      <c r="A21" s="2"/>
      <c r="B21" s="2"/>
      <c r="C21" s="2"/>
      <c r="D21" s="8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165"/>
      <c r="B22" s="194"/>
      <c r="C22" s="193"/>
      <c r="D22" s="193"/>
      <c r="E22" s="193"/>
      <c r="F22" s="194"/>
      <c r="G22" s="193"/>
      <c r="H22" s="193"/>
      <c r="I22" s="193"/>
      <c r="J22" s="193"/>
      <c r="K22" s="193"/>
      <c r="L22" s="193"/>
      <c r="M22" s="193"/>
      <c r="N22" s="193"/>
      <c r="O22" s="56"/>
      <c r="P22" s="56"/>
      <c r="Q22" s="56"/>
      <c r="R22" s="2"/>
      <c r="S22" s="2"/>
      <c r="T22" s="2"/>
      <c r="U22" s="2"/>
      <c r="V22" s="2"/>
    </row>
    <row r="23" spans="1:22" x14ac:dyDescent="0.25">
      <c r="A23" s="165"/>
      <c r="B23" s="194"/>
      <c r="C23" s="57"/>
      <c r="D23" s="81"/>
      <c r="E23" s="57"/>
      <c r="F23" s="194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56"/>
      <c r="R23" s="2"/>
      <c r="S23" s="2"/>
      <c r="T23" s="2"/>
      <c r="U23" s="2"/>
      <c r="V23" s="2"/>
    </row>
    <row r="24" spans="1:22" x14ac:dyDescent="0.25">
      <c r="A24" s="56"/>
      <c r="B24" s="58"/>
      <c r="C24" s="59"/>
      <c r="D24" s="59"/>
      <c r="E24" s="60"/>
      <c r="F24" s="60"/>
      <c r="G24" s="59"/>
      <c r="H24" s="60"/>
      <c r="I24" s="61"/>
      <c r="J24" s="59"/>
      <c r="K24" s="60"/>
      <c r="L24" s="59"/>
      <c r="M24" s="59"/>
      <c r="N24" s="59"/>
      <c r="O24" s="56"/>
      <c r="P24" s="56"/>
      <c r="Q24" s="56"/>
      <c r="R24" s="2"/>
      <c r="S24" s="2"/>
      <c r="T24" s="2"/>
      <c r="U24" s="2"/>
      <c r="V24" s="2"/>
    </row>
    <row r="25" spans="1:22" x14ac:dyDescent="0.25">
      <c r="A25" s="56"/>
      <c r="B25" s="6"/>
      <c r="C25" s="6"/>
      <c r="D25" s="6"/>
      <c r="E25" s="6"/>
      <c r="F25" s="6"/>
      <c r="G25" s="6"/>
      <c r="H25" s="44"/>
      <c r="I25" s="44"/>
      <c r="J25" s="44"/>
      <c r="K25" s="6"/>
      <c r="L25" s="6"/>
      <c r="M25" s="44"/>
      <c r="N25" s="44"/>
      <c r="O25" s="56"/>
      <c r="P25" s="56"/>
      <c r="Q25" s="56"/>
      <c r="R25" s="2"/>
      <c r="S25" s="2"/>
      <c r="T25" s="2"/>
      <c r="U25" s="2"/>
      <c r="V25" s="2"/>
    </row>
    <row r="26" spans="1:22" x14ac:dyDescent="0.25">
      <c r="A26" s="56"/>
      <c r="B26" s="6"/>
      <c r="C26" s="6"/>
      <c r="D26" s="6"/>
      <c r="E26" s="44"/>
      <c r="F26" s="44"/>
      <c r="G26" s="6"/>
      <c r="H26" s="45"/>
      <c r="I26" s="6"/>
      <c r="J26" s="6"/>
      <c r="K26" s="44"/>
      <c r="L26" s="44"/>
      <c r="M26" s="6"/>
      <c r="N26" s="6"/>
      <c r="O26" s="56"/>
      <c r="P26" s="56"/>
      <c r="Q26" s="56"/>
      <c r="R26" s="2"/>
      <c r="S26" s="2"/>
      <c r="T26" s="2"/>
      <c r="U26" s="2"/>
      <c r="V26" s="2"/>
    </row>
    <row r="27" spans="1:22" x14ac:dyDescent="0.25">
      <c r="A27" s="56"/>
      <c r="B27" s="56"/>
      <c r="C27" s="56"/>
      <c r="D27" s="80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2"/>
      <c r="S27" s="2"/>
      <c r="T27" s="2"/>
      <c r="U27" s="2"/>
      <c r="V27" s="2"/>
    </row>
    <row r="28" spans="1:22" x14ac:dyDescent="0.25">
      <c r="A28" s="56"/>
      <c r="B28" s="56"/>
      <c r="C28" s="56"/>
      <c r="D28" s="80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2"/>
      <c r="S28" s="2"/>
      <c r="T28" s="2"/>
      <c r="U28" s="2"/>
      <c r="V28" s="2"/>
    </row>
    <row r="29" spans="1:22" x14ac:dyDescent="0.25">
      <c r="A29" s="56"/>
      <c r="B29" s="56"/>
      <c r="C29" s="56"/>
      <c r="D29" s="80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2"/>
      <c r="S29" s="2"/>
      <c r="T29" s="2"/>
      <c r="U29" s="2"/>
      <c r="V29" s="2"/>
    </row>
    <row r="30" spans="1:22" x14ac:dyDescent="0.25">
      <c r="A30" s="56"/>
      <c r="B30" s="56"/>
      <c r="C30" s="56"/>
      <c r="D30" s="80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2"/>
      <c r="S30" s="2"/>
      <c r="T30" s="2"/>
      <c r="U30" s="2"/>
      <c r="V30" s="2"/>
    </row>
    <row r="31" spans="1:22" x14ac:dyDescent="0.25">
      <c r="A31" s="56"/>
      <c r="B31" s="56"/>
      <c r="C31" s="56"/>
      <c r="D31" s="80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2"/>
      <c r="S31" s="2"/>
      <c r="T31" s="2"/>
      <c r="U31" s="2"/>
      <c r="V31" s="2"/>
    </row>
    <row r="32" spans="1:22" x14ac:dyDescent="0.25">
      <c r="A32" s="56"/>
      <c r="B32" s="56"/>
      <c r="C32" s="56"/>
      <c r="D32" s="8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2"/>
      <c r="S32" s="2"/>
      <c r="T32" s="2"/>
      <c r="U32" s="2"/>
      <c r="V32" s="2"/>
    </row>
    <row r="33" spans="1:22" x14ac:dyDescent="0.25">
      <c r="A33" s="56"/>
      <c r="B33" s="56"/>
      <c r="C33" s="56"/>
      <c r="D33" s="80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2"/>
      <c r="S33" s="2"/>
      <c r="T33" s="2"/>
      <c r="U33" s="2"/>
      <c r="V33" s="2"/>
    </row>
    <row r="34" spans="1:22" x14ac:dyDescent="0.25">
      <c r="A34" s="56"/>
      <c r="B34" s="56"/>
      <c r="C34" s="56"/>
      <c r="D34" s="80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2"/>
      <c r="S34" s="2"/>
      <c r="T34" s="2"/>
      <c r="U34" s="2"/>
      <c r="V34" s="2"/>
    </row>
    <row r="35" spans="1:22" x14ac:dyDescent="0.25">
      <c r="A35" s="2"/>
      <c r="B35" s="2"/>
      <c r="C35" s="2"/>
      <c r="D35" s="8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"/>
      <c r="B36" s="2"/>
      <c r="C36" s="2"/>
      <c r="D36" s="8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"/>
      <c r="B37" s="2"/>
      <c r="C37" s="2"/>
      <c r="D37" s="8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8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mergeCells count="6">
    <mergeCell ref="K22:N22"/>
    <mergeCell ref="A22:A23"/>
    <mergeCell ref="B22:B23"/>
    <mergeCell ref="C22:E22"/>
    <mergeCell ref="F22:F23"/>
    <mergeCell ref="G22:J2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Layout" zoomScaleNormal="110" workbookViewId="0">
      <selection activeCell="A37" sqref="A37:E62"/>
    </sheetView>
  </sheetViews>
  <sheetFormatPr defaultRowHeight="15" x14ac:dyDescent="0.25"/>
  <cols>
    <col min="1" max="1" width="9.85546875" customWidth="1"/>
    <col min="2" max="2" width="30.28515625" customWidth="1"/>
    <col min="3" max="3" width="7" customWidth="1"/>
    <col min="4" max="4" width="7.7109375" customWidth="1"/>
    <col min="5" max="5" width="7" customWidth="1"/>
    <col min="7" max="7" width="8.28515625" customWidth="1"/>
    <col min="8" max="8" width="5.7109375" customWidth="1"/>
    <col min="9" max="9" width="6.42578125" customWidth="1"/>
    <col min="10" max="10" width="5.5703125" customWidth="1"/>
    <col min="11" max="11" width="5.42578125" customWidth="1"/>
    <col min="12" max="12" width="6.42578125" customWidth="1"/>
    <col min="13" max="13" width="7.85546875" customWidth="1"/>
    <col min="14" max="14" width="7" customWidth="1"/>
    <col min="15" max="15" width="6.42578125" customWidth="1"/>
  </cols>
  <sheetData>
    <row r="1" spans="1:18" ht="18" customHeight="1" x14ac:dyDescent="0.3">
      <c r="A1" s="130" t="s">
        <v>305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  <c r="P1" s="4"/>
      <c r="Q1" s="4"/>
      <c r="R1" s="2"/>
    </row>
    <row r="2" spans="1:18" ht="17.25" x14ac:dyDescent="0.3">
      <c r="A2" s="130" t="s">
        <v>270</v>
      </c>
      <c r="B2" s="130"/>
      <c r="C2" s="197" t="s">
        <v>271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  <c r="P2" s="129"/>
      <c r="Q2" s="4"/>
      <c r="R2" s="2"/>
    </row>
    <row r="3" spans="1:18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ht="30.75" customHeight="1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6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6"/>
      <c r="Q5" s="4"/>
      <c r="R5" s="2"/>
    </row>
    <row r="6" spans="1:18" x14ac:dyDescent="0.25">
      <c r="A6" s="5" t="s">
        <v>18</v>
      </c>
      <c r="B6" s="8" t="s">
        <v>294</v>
      </c>
      <c r="C6" s="5">
        <v>180</v>
      </c>
      <c r="D6" s="5">
        <f>C6*3.3/100</f>
        <v>5.94</v>
      </c>
      <c r="E6" s="5">
        <f>C6*4.3/100</f>
        <v>7.74</v>
      </c>
      <c r="F6" s="9">
        <f>C6*19.8/100</f>
        <v>35.64</v>
      </c>
      <c r="G6" s="5">
        <f>F6*4+E6*9+D6*4</f>
        <v>235.98</v>
      </c>
      <c r="H6" s="5">
        <f>C6*0.05/100</f>
        <v>0.09</v>
      </c>
      <c r="I6" s="9">
        <f>C6*0.46/100</f>
        <v>0.82799999999999996</v>
      </c>
      <c r="J6" s="9">
        <f>C6*0.01/100</f>
        <v>1.8000000000000002E-2</v>
      </c>
      <c r="K6" s="9">
        <f>C6*0.04/100</f>
        <v>7.2000000000000008E-2</v>
      </c>
      <c r="L6" s="5">
        <f>C6*62.52/100</f>
        <v>112.536</v>
      </c>
      <c r="M6" s="5">
        <f>C6*73.2/100</f>
        <v>131.76</v>
      </c>
      <c r="N6" s="9">
        <f>C6*17.73/100</f>
        <v>31.914000000000001</v>
      </c>
      <c r="O6" s="9">
        <f>C6*0.39/100</f>
        <v>0.70200000000000007</v>
      </c>
      <c r="P6" s="6"/>
      <c r="Q6" s="4"/>
      <c r="R6" s="2"/>
    </row>
    <row r="7" spans="1:18" x14ac:dyDescent="0.25">
      <c r="A7" s="5" t="s">
        <v>105</v>
      </c>
      <c r="B7" s="8" t="s">
        <v>104</v>
      </c>
      <c r="C7" s="5">
        <v>50</v>
      </c>
      <c r="D7" s="5">
        <v>4.7300000000000004</v>
      </c>
      <c r="E7" s="9">
        <v>6.88</v>
      </c>
      <c r="F7" s="9">
        <v>14.56</v>
      </c>
      <c r="G7" s="9">
        <f>F7*4+E7*9+D7*4</f>
        <v>139.07999999999998</v>
      </c>
      <c r="H7" s="5">
        <v>0.17</v>
      </c>
      <c r="I7" s="10">
        <v>0</v>
      </c>
      <c r="J7" s="5">
        <v>0.15</v>
      </c>
      <c r="K7" s="5">
        <v>5.45</v>
      </c>
      <c r="L7" s="9">
        <v>215.99</v>
      </c>
      <c r="M7" s="9">
        <v>217</v>
      </c>
      <c r="N7" s="5">
        <v>42.91</v>
      </c>
      <c r="O7" s="5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ht="15.75" x14ac:dyDescent="0.25">
      <c r="A9" s="5" t="s">
        <v>84</v>
      </c>
      <c r="B9" s="8" t="s">
        <v>74</v>
      </c>
      <c r="C9" s="5">
        <v>200</v>
      </c>
      <c r="D9" s="9">
        <v>4.9000000000000004</v>
      </c>
      <c r="E9" s="9">
        <v>5</v>
      </c>
      <c r="F9" s="9">
        <v>32.5</v>
      </c>
      <c r="G9" s="9">
        <f>F9*4+E9*9+D9*4</f>
        <v>194.6</v>
      </c>
      <c r="H9" s="5">
        <v>0.06</v>
      </c>
      <c r="I9" s="5">
        <v>0.54</v>
      </c>
      <c r="J9" s="5">
        <v>0.04</v>
      </c>
      <c r="K9" s="9">
        <v>0.4</v>
      </c>
      <c r="L9" s="9">
        <v>172.2</v>
      </c>
      <c r="M9" s="9">
        <v>178.4</v>
      </c>
      <c r="N9" s="9">
        <v>24.8</v>
      </c>
      <c r="O9" s="9">
        <v>1</v>
      </c>
      <c r="P9" s="6"/>
      <c r="Q9" s="124"/>
      <c r="R9" s="124"/>
    </row>
    <row r="10" spans="1:18" ht="15.75" x14ac:dyDescent="0.25">
      <c r="A10" s="205" t="s">
        <v>58</v>
      </c>
      <c r="B10" s="207"/>
      <c r="C10" s="15"/>
      <c r="D10" s="15">
        <f t="shared" ref="D10:O10" si="0">SUM(D6:D9)</f>
        <v>18.57</v>
      </c>
      <c r="E10" s="15">
        <f t="shared" si="0"/>
        <v>20.78</v>
      </c>
      <c r="F10" s="16">
        <f t="shared" si="0"/>
        <v>103.26</v>
      </c>
      <c r="G10" s="15">
        <f t="shared" si="0"/>
        <v>674.33999999999992</v>
      </c>
      <c r="H10" s="16">
        <f t="shared" si="0"/>
        <v>0.36399999999999999</v>
      </c>
      <c r="I10" s="16">
        <f t="shared" si="0"/>
        <v>1.3679999999999999</v>
      </c>
      <c r="J10" s="16">
        <f t="shared" si="0"/>
        <v>0.20799999999999999</v>
      </c>
      <c r="K10" s="16">
        <f t="shared" si="0"/>
        <v>6.6020000000000003</v>
      </c>
      <c r="L10" s="16">
        <f t="shared" si="0"/>
        <v>508.32600000000002</v>
      </c>
      <c r="M10" s="15">
        <f t="shared" si="0"/>
        <v>553.16</v>
      </c>
      <c r="N10" s="16">
        <f t="shared" si="0"/>
        <v>104.824</v>
      </c>
      <c r="O10" s="16">
        <f t="shared" si="0"/>
        <v>3.9220000000000002</v>
      </c>
      <c r="P10" s="6"/>
      <c r="Q10" s="124"/>
      <c r="R10" s="124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 t="s">
        <v>35</v>
      </c>
      <c r="B12" s="8" t="s">
        <v>34</v>
      </c>
      <c r="C12" s="5">
        <v>100</v>
      </c>
      <c r="D12" s="9">
        <v>2.6</v>
      </c>
      <c r="E12" s="9">
        <v>5</v>
      </c>
      <c r="F12" s="9">
        <v>3.1</v>
      </c>
      <c r="G12" s="9">
        <f t="shared" ref="G12:G20" si="1">F12*4+E12*9+D12*4</f>
        <v>67.8</v>
      </c>
      <c r="H12" s="5">
        <v>0.04</v>
      </c>
      <c r="I12" s="9">
        <v>15.9</v>
      </c>
      <c r="J12" s="9">
        <v>0.06</v>
      </c>
      <c r="K12" s="9">
        <v>0.4</v>
      </c>
      <c r="L12" s="9">
        <v>46</v>
      </c>
      <c r="M12" s="9">
        <v>55</v>
      </c>
      <c r="N12" s="9">
        <v>15</v>
      </c>
      <c r="O12" s="9">
        <v>0.8</v>
      </c>
      <c r="P12" s="6"/>
      <c r="Q12" s="4"/>
      <c r="R12" s="2"/>
    </row>
    <row r="13" spans="1:18" ht="25.5" x14ac:dyDescent="0.25">
      <c r="A13" s="5" t="s">
        <v>254</v>
      </c>
      <c r="B13" s="20" t="s">
        <v>255</v>
      </c>
      <c r="C13" s="5">
        <v>250</v>
      </c>
      <c r="D13" s="9">
        <f>C13*2.24/100</f>
        <v>5.6</v>
      </c>
      <c r="E13" s="9">
        <f>C13*1.21/100</f>
        <v>3.0249999999999999</v>
      </c>
      <c r="F13" s="9">
        <f>C13*6.27/100</f>
        <v>15.675000000000001</v>
      </c>
      <c r="G13" s="9">
        <f t="shared" si="1"/>
        <v>112.32499999999999</v>
      </c>
      <c r="H13" s="23">
        <f>C13*0.04/100</f>
        <v>0.1</v>
      </c>
      <c r="I13" s="23">
        <f>C13*4.47/100</f>
        <v>11.175000000000001</v>
      </c>
      <c r="J13" s="23">
        <f>C13*0.02/100</f>
        <v>0.05</v>
      </c>
      <c r="K13" s="22">
        <f>C13*0.3/100</f>
        <v>0.75</v>
      </c>
      <c r="L13" s="23">
        <f>C13*8.8/100</f>
        <v>22</v>
      </c>
      <c r="M13" s="23">
        <f>C13*41.8/100</f>
        <v>104.5</v>
      </c>
      <c r="N13" s="23">
        <f>C13*8.3/100</f>
        <v>20.75</v>
      </c>
      <c r="O13" s="23">
        <f>C13*0.3/100</f>
        <v>0.75</v>
      </c>
      <c r="P13" s="6"/>
      <c r="Q13" s="4"/>
      <c r="R13" s="2"/>
    </row>
    <row r="14" spans="1:18" x14ac:dyDescent="0.25">
      <c r="A14" s="5" t="s">
        <v>31</v>
      </c>
      <c r="B14" s="8" t="s">
        <v>30</v>
      </c>
      <c r="C14" s="22">
        <v>180</v>
      </c>
      <c r="D14" s="9">
        <f>C14*2.1/100</f>
        <v>3.78</v>
      </c>
      <c r="E14" s="9">
        <f>C14*4.5/100</f>
        <v>8.1</v>
      </c>
      <c r="F14" s="9">
        <f>C14*14.6/100</f>
        <v>26.28</v>
      </c>
      <c r="G14" s="9">
        <f t="shared" si="1"/>
        <v>193.14</v>
      </c>
      <c r="H14" s="5">
        <f>C14*0.1/100</f>
        <v>0.18</v>
      </c>
      <c r="I14" s="5">
        <f>C14*3.7/100</f>
        <v>6.66</v>
      </c>
      <c r="J14" s="9">
        <v>0.04</v>
      </c>
      <c r="K14" s="5">
        <f>C14*0.1/100</f>
        <v>0.18</v>
      </c>
      <c r="L14" s="9">
        <f>C14*27/100</f>
        <v>48.6</v>
      </c>
      <c r="M14" s="9">
        <f>C14*56/100</f>
        <v>100.8</v>
      </c>
      <c r="N14" s="9">
        <f>C14*20/100</f>
        <v>36</v>
      </c>
      <c r="O14" s="9">
        <f>C14*0.7/100</f>
        <v>1.2599999999999998</v>
      </c>
    </row>
    <row r="15" spans="1:18" x14ac:dyDescent="0.25">
      <c r="A15" s="5" t="s">
        <v>33</v>
      </c>
      <c r="B15" s="8" t="s">
        <v>32</v>
      </c>
      <c r="C15" s="5">
        <v>90</v>
      </c>
      <c r="D15" s="5">
        <f>C15*14.3/100</f>
        <v>12.87</v>
      </c>
      <c r="E15" s="9">
        <f>C15*10.5/100</f>
        <v>9.4499999999999993</v>
      </c>
      <c r="F15" s="5">
        <f>C15*13.1/100</f>
        <v>11.79</v>
      </c>
      <c r="G15" s="5">
        <f t="shared" si="1"/>
        <v>183.68999999999997</v>
      </c>
      <c r="H15" s="9">
        <f>C15*0.08/100</f>
        <v>7.2000000000000008E-2</v>
      </c>
      <c r="I15" s="10">
        <v>0</v>
      </c>
      <c r="J15" s="10">
        <v>0</v>
      </c>
      <c r="K15" s="5">
        <f>C15*0.8/100</f>
        <v>0.72</v>
      </c>
      <c r="L15" s="9">
        <f>C15*21/100</f>
        <v>18.899999999999999</v>
      </c>
      <c r="M15" s="9">
        <f>C15*129/100</f>
        <v>116.1</v>
      </c>
      <c r="N15" s="9">
        <f>C15*26/100</f>
        <v>23.4</v>
      </c>
      <c r="O15" s="9">
        <f>C15*1.5/100</f>
        <v>1.35</v>
      </c>
      <c r="P15" s="6"/>
      <c r="Q15" s="4"/>
      <c r="R15" s="2"/>
    </row>
    <row r="16" spans="1:18" x14ac:dyDescent="0.25">
      <c r="A16" s="144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1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1"/>
        <v>118</v>
      </c>
      <c r="H17" s="9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C17*14/100</f>
        <v>7</v>
      </c>
      <c r="O17" s="5">
        <f>C17*1.1/100</f>
        <v>0.55000000000000004</v>
      </c>
      <c r="P17" s="6"/>
      <c r="Q17" s="4"/>
      <c r="R17" s="139"/>
    </row>
    <row r="18" spans="1:18" ht="15.75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1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195"/>
      <c r="R18" s="195"/>
    </row>
    <row r="19" spans="1:18" ht="15.75" x14ac:dyDescent="0.25">
      <c r="A19" s="5" t="s">
        <v>85</v>
      </c>
      <c r="B19" s="8" t="s">
        <v>37</v>
      </c>
      <c r="C19" s="5">
        <v>200</v>
      </c>
      <c r="D19" s="9">
        <v>0.6</v>
      </c>
      <c r="E19" s="10">
        <v>0</v>
      </c>
      <c r="F19" s="9">
        <v>31.4</v>
      </c>
      <c r="G19" s="10">
        <f t="shared" si="1"/>
        <v>128</v>
      </c>
      <c r="H19" s="5">
        <v>0.02</v>
      </c>
      <c r="I19" s="5">
        <v>0.73</v>
      </c>
      <c r="J19" s="10">
        <v>0</v>
      </c>
      <c r="K19" s="5">
        <v>0.51</v>
      </c>
      <c r="L19" s="5">
        <v>32.479999999999997</v>
      </c>
      <c r="M19" s="5">
        <v>23.44</v>
      </c>
      <c r="N19" s="5">
        <v>17.46</v>
      </c>
      <c r="O19" s="9">
        <v>0.7</v>
      </c>
      <c r="P19" s="6"/>
      <c r="Q19" s="195"/>
      <c r="R19" s="195"/>
    </row>
    <row r="20" spans="1:18" x14ac:dyDescent="0.25">
      <c r="A20" s="5"/>
      <c r="B20" s="8" t="s">
        <v>38</v>
      </c>
      <c r="C20" s="5">
        <v>100</v>
      </c>
      <c r="D20" s="9">
        <v>0.4</v>
      </c>
      <c r="E20" s="9">
        <v>0.4</v>
      </c>
      <c r="F20" s="9">
        <v>9.8000000000000007</v>
      </c>
      <c r="G20" s="9">
        <f t="shared" si="1"/>
        <v>44.400000000000006</v>
      </c>
      <c r="H20" s="5">
        <v>0.03</v>
      </c>
      <c r="I20" s="9">
        <v>10</v>
      </c>
      <c r="J20" s="10">
        <v>0</v>
      </c>
      <c r="K20" s="9">
        <v>0.2</v>
      </c>
      <c r="L20" s="9">
        <v>16</v>
      </c>
      <c r="M20" s="9">
        <v>11</v>
      </c>
      <c r="N20" s="9">
        <v>9</v>
      </c>
      <c r="O20" s="9">
        <v>2.2000000000000002</v>
      </c>
      <c r="P20" s="6"/>
      <c r="Q20" s="4"/>
      <c r="R20" s="139"/>
    </row>
    <row r="21" spans="1:18" x14ac:dyDescent="0.25">
      <c r="A21" s="205" t="s">
        <v>59</v>
      </c>
      <c r="B21" s="207"/>
      <c r="C21" s="5"/>
      <c r="D21" s="15">
        <f t="shared" ref="D21:O21" si="2">SUM(D12:D20)</f>
        <v>33.119999999999997</v>
      </c>
      <c r="E21" s="16">
        <f t="shared" si="2"/>
        <v>29.694999999999997</v>
      </c>
      <c r="F21" s="16">
        <f t="shared" si="2"/>
        <v>143.17500000000001</v>
      </c>
      <c r="G21" s="16">
        <f t="shared" si="2"/>
        <v>972.43499999999983</v>
      </c>
      <c r="H21" s="16">
        <f t="shared" si="2"/>
        <v>0.56900000000000006</v>
      </c>
      <c r="I21" s="16">
        <f t="shared" si="2"/>
        <v>44.854999999999997</v>
      </c>
      <c r="J21" s="16">
        <f t="shared" si="2"/>
        <v>0.15</v>
      </c>
      <c r="K21" s="15">
        <f t="shared" si="2"/>
        <v>3.87</v>
      </c>
      <c r="L21" s="16">
        <f t="shared" si="2"/>
        <v>207.98999999999998</v>
      </c>
      <c r="M21" s="16">
        <f t="shared" si="2"/>
        <v>506.53999999999996</v>
      </c>
      <c r="N21" s="16">
        <f t="shared" si="2"/>
        <v>147.41</v>
      </c>
      <c r="O21" s="15">
        <f t="shared" si="2"/>
        <v>9.27</v>
      </c>
      <c r="P21" s="6"/>
      <c r="Q21" s="4"/>
      <c r="R21" s="139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3">D10+D21</f>
        <v>51.69</v>
      </c>
      <c r="E23" s="16">
        <f t="shared" si="3"/>
        <v>50.474999999999994</v>
      </c>
      <c r="F23" s="16">
        <f t="shared" si="3"/>
        <v>246.435</v>
      </c>
      <c r="G23" s="16">
        <f t="shared" si="3"/>
        <v>1646.7749999999996</v>
      </c>
      <c r="H23" s="16">
        <f t="shared" si="3"/>
        <v>0.93300000000000005</v>
      </c>
      <c r="I23" s="16">
        <f t="shared" si="3"/>
        <v>46.222999999999999</v>
      </c>
      <c r="J23" s="145">
        <f t="shared" si="3"/>
        <v>0.35799999999999998</v>
      </c>
      <c r="K23" s="16">
        <f t="shared" si="3"/>
        <v>10.472000000000001</v>
      </c>
      <c r="L23" s="16">
        <f t="shared" si="3"/>
        <v>716.31600000000003</v>
      </c>
      <c r="M23" s="16">
        <f t="shared" si="3"/>
        <v>1059.6999999999998</v>
      </c>
      <c r="N23" s="16">
        <f t="shared" si="3"/>
        <v>252.23399999999998</v>
      </c>
      <c r="O23" s="16">
        <f t="shared" si="3"/>
        <v>13.192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41</v>
      </c>
      <c r="B25" s="8" t="s">
        <v>40</v>
      </c>
      <c r="C25" s="5">
        <v>75</v>
      </c>
      <c r="D25" s="9">
        <v>4.8</v>
      </c>
      <c r="E25" s="9">
        <v>8.5</v>
      </c>
      <c r="F25" s="9">
        <v>48.4</v>
      </c>
      <c r="G25" s="9">
        <f>F25*4+E25*9+D25*4</f>
        <v>289.3</v>
      </c>
      <c r="H25" s="9">
        <v>0.04</v>
      </c>
      <c r="I25" s="5">
        <v>3.3000000000000002E-2</v>
      </c>
      <c r="J25" s="10">
        <v>0</v>
      </c>
      <c r="K25" s="10">
        <v>0</v>
      </c>
      <c r="L25" s="9">
        <v>12</v>
      </c>
      <c r="M25" s="10">
        <v>0</v>
      </c>
      <c r="N25" s="5">
        <v>5.83</v>
      </c>
      <c r="O25" s="5">
        <v>1.31</v>
      </c>
      <c r="P25" s="6"/>
      <c r="Q25" s="4"/>
      <c r="R25" s="2"/>
    </row>
    <row r="26" spans="1:18" x14ac:dyDescent="0.25">
      <c r="A26" s="5" t="s">
        <v>72</v>
      </c>
      <c r="B26" s="8" t="s">
        <v>71</v>
      </c>
      <c r="C26" s="5">
        <v>200</v>
      </c>
      <c r="D26" s="9">
        <v>0.3</v>
      </c>
      <c r="E26" s="10">
        <v>0</v>
      </c>
      <c r="F26" s="9">
        <v>15.2</v>
      </c>
      <c r="G26" s="9">
        <f t="shared" ref="G26" si="4">F26*4+E26*9+D26*4</f>
        <v>62</v>
      </c>
      <c r="H26" s="10">
        <v>0</v>
      </c>
      <c r="I26" s="9">
        <v>2.2000000000000002</v>
      </c>
      <c r="J26" s="10">
        <v>0</v>
      </c>
      <c r="K26" s="10">
        <v>0</v>
      </c>
      <c r="L26" s="9">
        <v>16</v>
      </c>
      <c r="M26" s="9">
        <v>8</v>
      </c>
      <c r="N26" s="9">
        <v>6</v>
      </c>
      <c r="O26" s="9">
        <v>0.8</v>
      </c>
      <c r="P26" s="6"/>
      <c r="Q26" s="4"/>
      <c r="R26" s="2"/>
    </row>
    <row r="27" spans="1:18" x14ac:dyDescent="0.25">
      <c r="A27" s="5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4"/>
      <c r="R27" s="2"/>
    </row>
    <row r="28" spans="1:18" x14ac:dyDescent="0.25">
      <c r="A28" s="6"/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2"/>
    </row>
    <row r="32" spans="1:18" x14ac:dyDescent="0.25">
      <c r="A32" s="64"/>
      <c r="B32" s="78"/>
      <c r="C32" s="60"/>
      <c r="D32" s="60"/>
      <c r="E32" s="6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2"/>
    </row>
    <row r="33" spans="1:18" x14ac:dyDescent="0.25">
      <c r="A33" s="64"/>
      <c r="B33" s="64"/>
      <c r="C33" s="6"/>
      <c r="D33" s="6"/>
      <c r="E33" s="6"/>
      <c r="F33" s="6" t="s">
        <v>20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2"/>
    </row>
    <row r="34" spans="1:18" x14ac:dyDescent="0.25">
      <c r="A34" s="64"/>
      <c r="B34" s="6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2"/>
    </row>
    <row r="35" spans="1:18" x14ac:dyDescent="0.25">
      <c r="A35" s="64"/>
      <c r="B35" s="6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2"/>
    </row>
    <row r="36" spans="1:18" x14ac:dyDescent="0.25">
      <c r="A36" s="64"/>
      <c r="B36" s="6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150"/>
      <c r="B37" s="78"/>
      <c r="C37" s="60"/>
      <c r="D37" s="60"/>
      <c r="E37" s="60"/>
      <c r="F37" s="60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150"/>
      <c r="B38" s="15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2"/>
      <c r="R38" s="2"/>
    </row>
    <row r="39" spans="1:18" x14ac:dyDescent="0.25">
      <c r="A39" s="150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8" x14ac:dyDescent="0.25">
      <c r="A40" s="150"/>
      <c r="B40" s="150"/>
      <c r="C40" s="6"/>
      <c r="D40" s="6"/>
      <c r="E40" s="6"/>
      <c r="F40" s="6"/>
      <c r="G40" s="63"/>
      <c r="H40" s="63"/>
      <c r="I40" s="63"/>
      <c r="J40" s="7"/>
      <c r="K40" s="7"/>
      <c r="L40" s="7"/>
      <c r="M40" s="7"/>
      <c r="N40" s="7"/>
      <c r="O40" s="7"/>
    </row>
    <row r="41" spans="1:18" x14ac:dyDescent="0.25">
      <c r="A41" s="150"/>
      <c r="B41" s="150"/>
      <c r="C41" s="6"/>
      <c r="D41" s="6"/>
      <c r="E41" s="6"/>
      <c r="F41" s="6"/>
      <c r="G41" s="64"/>
      <c r="H41" s="64"/>
      <c r="I41" s="64"/>
      <c r="J41" s="2"/>
      <c r="K41" s="2"/>
      <c r="L41" s="2"/>
      <c r="M41" s="2"/>
      <c r="N41" s="2"/>
      <c r="O41" s="2"/>
    </row>
    <row r="42" spans="1:18" x14ac:dyDescent="0.25">
      <c r="A42" s="150"/>
      <c r="B42" s="150"/>
      <c r="C42" s="6"/>
      <c r="D42" s="6"/>
      <c r="E42" s="6"/>
      <c r="F42" s="6"/>
      <c r="G42" s="64"/>
      <c r="H42" s="64"/>
      <c r="I42" s="64"/>
      <c r="J42" s="2"/>
      <c r="K42" s="2"/>
      <c r="L42" s="2"/>
      <c r="M42" s="2"/>
      <c r="N42" s="2"/>
      <c r="O42" s="2"/>
    </row>
    <row r="43" spans="1:18" x14ac:dyDescent="0.25">
      <c r="A43" s="150"/>
      <c r="B43" s="150"/>
      <c r="C43" s="6"/>
      <c r="D43" s="6"/>
      <c r="E43" s="6"/>
      <c r="F43" s="6"/>
      <c r="G43" s="64"/>
      <c r="H43" s="64"/>
      <c r="I43" s="64"/>
      <c r="J43" s="2"/>
      <c r="K43" s="2"/>
      <c r="L43" s="2"/>
      <c r="M43" s="2"/>
      <c r="N43" s="2"/>
      <c r="O43" s="2"/>
    </row>
    <row r="44" spans="1:18" x14ac:dyDescent="0.25">
      <c r="A44" s="150"/>
      <c r="B44" s="150"/>
      <c r="C44" s="6"/>
      <c r="D44" s="6"/>
      <c r="E44" s="6"/>
      <c r="F44" s="6"/>
      <c r="G44" s="64"/>
      <c r="H44" s="64"/>
      <c r="I44" s="64"/>
      <c r="J44" s="2"/>
      <c r="K44" s="2"/>
      <c r="L44" s="2"/>
      <c r="M44" s="2"/>
      <c r="N44" s="2"/>
      <c r="O44" s="2"/>
    </row>
    <row r="45" spans="1:18" x14ac:dyDescent="0.25">
      <c r="A45" s="150"/>
      <c r="B45" s="150"/>
      <c r="C45" s="6"/>
      <c r="D45" s="6"/>
      <c r="E45" s="6"/>
      <c r="F45" s="6"/>
      <c r="G45" s="64"/>
      <c r="H45" s="64"/>
      <c r="I45" s="64"/>
    </row>
    <row r="46" spans="1:18" x14ac:dyDescent="0.25">
      <c r="A46" s="150"/>
      <c r="B46" s="150"/>
      <c r="C46" s="6"/>
      <c r="D46" s="6"/>
      <c r="E46" s="6"/>
      <c r="F46" s="6"/>
      <c r="G46" s="64"/>
      <c r="H46" s="64"/>
      <c r="I46" s="64"/>
    </row>
    <row r="47" spans="1:18" x14ac:dyDescent="0.25">
      <c r="A47" s="150"/>
      <c r="B47" s="150"/>
      <c r="C47" s="6"/>
      <c r="D47" s="6"/>
      <c r="E47" s="6"/>
      <c r="F47" s="6"/>
      <c r="G47" s="64"/>
      <c r="H47" s="64"/>
      <c r="I47" s="64"/>
    </row>
    <row r="48" spans="1:18" x14ac:dyDescent="0.25">
      <c r="A48" s="150"/>
      <c r="B48" s="150"/>
      <c r="C48" s="6"/>
      <c r="D48" s="6"/>
      <c r="E48" s="6"/>
      <c r="F48" s="6"/>
      <c r="G48" s="64"/>
      <c r="H48" s="64"/>
      <c r="I48" s="64"/>
    </row>
    <row r="49" spans="1:9" x14ac:dyDescent="0.25">
      <c r="A49" s="150"/>
      <c r="B49" s="150"/>
      <c r="C49" s="149"/>
      <c r="D49" s="149"/>
      <c r="E49" s="149"/>
      <c r="F49" s="63"/>
      <c r="G49" s="64"/>
      <c r="H49" s="64"/>
      <c r="I49" s="64"/>
    </row>
    <row r="50" spans="1:9" x14ac:dyDescent="0.25">
      <c r="A50" s="150"/>
      <c r="B50" s="150"/>
      <c r="C50" s="150"/>
      <c r="D50" s="150"/>
      <c r="E50" s="150"/>
      <c r="F50" s="64"/>
      <c r="G50" s="64"/>
      <c r="H50" s="64"/>
      <c r="I50" s="64"/>
    </row>
    <row r="51" spans="1:9" x14ac:dyDescent="0.25">
      <c r="A51" s="150"/>
      <c r="B51" s="150"/>
      <c r="C51" s="150"/>
      <c r="D51" s="150"/>
      <c r="E51" s="150"/>
      <c r="F51" s="64"/>
      <c r="G51" s="64"/>
      <c r="H51" s="64"/>
      <c r="I51" s="64"/>
    </row>
    <row r="52" spans="1:9" x14ac:dyDescent="0.25">
      <c r="A52" s="150"/>
      <c r="B52" s="150"/>
      <c r="C52" s="150"/>
      <c r="D52" s="150"/>
      <c r="E52" s="150"/>
      <c r="F52" s="64"/>
      <c r="G52" s="64"/>
      <c r="H52" s="64"/>
      <c r="I52" s="64"/>
    </row>
    <row r="53" spans="1:9" x14ac:dyDescent="0.25">
      <c r="A53" s="150"/>
      <c r="B53" s="150"/>
      <c r="C53" s="150"/>
      <c r="D53" s="150"/>
      <c r="E53" s="150"/>
      <c r="F53" s="64"/>
      <c r="G53" s="64"/>
      <c r="H53" s="64"/>
      <c r="I53" s="64"/>
    </row>
    <row r="54" spans="1:9" x14ac:dyDescent="0.25">
      <c r="A54" s="150"/>
      <c r="B54" s="150"/>
      <c r="C54" s="150"/>
      <c r="D54" s="150"/>
      <c r="E54" s="150"/>
      <c r="F54" s="64"/>
      <c r="G54" s="64"/>
      <c r="H54" s="64"/>
      <c r="I54" s="64"/>
    </row>
    <row r="55" spans="1:9" x14ac:dyDescent="0.25">
      <c r="A55" s="150"/>
      <c r="B55" s="150"/>
      <c r="C55" s="150"/>
      <c r="D55" s="150"/>
      <c r="E55" s="150"/>
      <c r="F55" s="64"/>
      <c r="G55" s="64"/>
      <c r="H55" s="64"/>
      <c r="I55" s="64"/>
    </row>
    <row r="56" spans="1:9" x14ac:dyDescent="0.25">
      <c r="A56" s="150"/>
      <c r="B56" s="150"/>
      <c r="C56" s="150"/>
      <c r="D56" s="150"/>
      <c r="E56" s="150"/>
      <c r="F56" s="64"/>
      <c r="G56" s="64"/>
      <c r="H56" s="64"/>
      <c r="I56" s="64"/>
    </row>
    <row r="57" spans="1:9" x14ac:dyDescent="0.25">
      <c r="A57" s="150"/>
      <c r="B57" s="150"/>
      <c r="C57" s="150"/>
      <c r="D57" s="150"/>
      <c r="E57" s="150"/>
      <c r="F57" s="64"/>
      <c r="G57" s="64"/>
      <c r="H57" s="64"/>
      <c r="I57" s="64"/>
    </row>
    <row r="58" spans="1:9" x14ac:dyDescent="0.25">
      <c r="A58" s="150"/>
      <c r="B58" s="150"/>
      <c r="C58" s="150"/>
      <c r="D58" s="150"/>
      <c r="E58" s="150"/>
      <c r="F58" s="64"/>
      <c r="G58" s="64"/>
      <c r="H58" s="64"/>
      <c r="I58" s="64"/>
    </row>
    <row r="59" spans="1:9" x14ac:dyDescent="0.25">
      <c r="A59" s="150"/>
      <c r="B59" s="150"/>
      <c r="C59" s="150"/>
      <c r="D59" s="150"/>
      <c r="E59" s="150"/>
      <c r="F59" s="64"/>
      <c r="G59" s="64"/>
      <c r="H59" s="64"/>
      <c r="I59" s="64"/>
    </row>
    <row r="60" spans="1:9" x14ac:dyDescent="0.25">
      <c r="A60" s="150"/>
      <c r="B60" s="150"/>
      <c r="C60" s="150"/>
      <c r="D60" s="150"/>
      <c r="E60" s="150"/>
      <c r="F60" s="64"/>
      <c r="G60" s="64"/>
      <c r="H60" s="64"/>
      <c r="I60" s="64"/>
    </row>
    <row r="61" spans="1:9" x14ac:dyDescent="0.25">
      <c r="A61" s="150"/>
      <c r="B61" s="150"/>
      <c r="C61" s="150"/>
      <c r="D61" s="150"/>
      <c r="E61" s="150"/>
      <c r="F61" s="64"/>
      <c r="G61" s="64"/>
      <c r="H61" s="64"/>
      <c r="I61" s="64"/>
    </row>
    <row r="62" spans="1:9" x14ac:dyDescent="0.25">
      <c r="A62" s="150"/>
      <c r="B62" s="150"/>
      <c r="C62" s="150"/>
      <c r="D62" s="150"/>
      <c r="E62" s="150"/>
    </row>
  </sheetData>
  <mergeCells count="19">
    <mergeCell ref="A24:O24"/>
    <mergeCell ref="A22:O22"/>
    <mergeCell ref="A10:B10"/>
    <mergeCell ref="A21:B21"/>
    <mergeCell ref="A23:B23"/>
    <mergeCell ref="A11:O11"/>
    <mergeCell ref="A3:A4"/>
    <mergeCell ref="B3:B4"/>
    <mergeCell ref="C3:C4"/>
    <mergeCell ref="D3:F3"/>
    <mergeCell ref="G3:G4"/>
    <mergeCell ref="Q18:R18"/>
    <mergeCell ref="Q19:R19"/>
    <mergeCell ref="J1:O1"/>
    <mergeCell ref="J2:O2"/>
    <mergeCell ref="C1:F1"/>
    <mergeCell ref="C2:G2"/>
    <mergeCell ref="L3:O3"/>
    <mergeCell ref="H3:K3"/>
  </mergeCells>
  <pageMargins left="0.25" right="0.25" top="0.45833333333333331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Layout" zoomScaleNormal="110" workbookViewId="0">
      <selection activeCell="O9" sqref="O9"/>
    </sheetView>
  </sheetViews>
  <sheetFormatPr defaultRowHeight="15" x14ac:dyDescent="0.25"/>
  <cols>
    <col min="1" max="1" width="9.85546875" customWidth="1"/>
    <col min="2" max="2" width="27.85546875" customWidth="1"/>
    <col min="3" max="3" width="8" customWidth="1"/>
    <col min="4" max="4" width="7.7109375" customWidth="1"/>
    <col min="5" max="5" width="7" customWidth="1"/>
    <col min="7" max="7" width="8.5703125" customWidth="1"/>
    <col min="8" max="8" width="7.42578125" customWidth="1"/>
    <col min="9" max="9" width="6.4257812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3.5" customHeight="1" x14ac:dyDescent="0.3">
      <c r="A1" s="130" t="s">
        <v>251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  <c r="P1" s="4"/>
      <c r="Q1" s="4"/>
      <c r="R1" s="2"/>
    </row>
    <row r="2" spans="1:18" ht="17.25" x14ac:dyDescent="0.3">
      <c r="A2" s="130" t="s">
        <v>270</v>
      </c>
      <c r="B2" s="130"/>
      <c r="C2" s="197" t="s">
        <v>269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  <c r="P2" s="4"/>
      <c r="Q2" s="4"/>
      <c r="R2" s="2"/>
    </row>
    <row r="3" spans="1:18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6"/>
      <c r="Q4" s="4"/>
      <c r="R4" s="2"/>
    </row>
    <row r="5" spans="1:18" x14ac:dyDescent="0.25">
      <c r="A5" s="148"/>
      <c r="B5" s="146"/>
      <c r="C5" s="146"/>
      <c r="D5" s="146"/>
      <c r="E5" s="146"/>
      <c r="F5" s="14" t="s">
        <v>26</v>
      </c>
      <c r="G5" s="146"/>
      <c r="H5" s="146"/>
      <c r="I5" s="146"/>
      <c r="J5" s="146"/>
      <c r="K5" s="146"/>
      <c r="L5" s="146"/>
      <c r="M5" s="146"/>
      <c r="N5" s="146"/>
      <c r="O5" s="147"/>
      <c r="P5" s="6"/>
      <c r="Q5" s="4"/>
      <c r="R5" s="2"/>
    </row>
    <row r="6" spans="1:18" x14ac:dyDescent="0.25">
      <c r="A6" s="5" t="s">
        <v>60</v>
      </c>
      <c r="B6" s="20" t="s">
        <v>295</v>
      </c>
      <c r="C6" s="5">
        <v>180</v>
      </c>
      <c r="D6" s="5">
        <f>C6*2.9/100</f>
        <v>5.22</v>
      </c>
      <c r="E6" s="5">
        <f>C6*4.2/100</f>
        <v>7.56</v>
      </c>
      <c r="F6" s="9">
        <f>C6*14.5/100</f>
        <v>26.1</v>
      </c>
      <c r="G6" s="5">
        <f>F6*4+E6*9+D6*4</f>
        <v>193.32</v>
      </c>
      <c r="H6" s="9">
        <f>C6*0.03/100</f>
        <v>5.3999999999999992E-2</v>
      </c>
      <c r="I6" s="10">
        <v>0</v>
      </c>
      <c r="J6" s="10">
        <v>0</v>
      </c>
      <c r="K6" s="5">
        <f>C6*1.1/100</f>
        <v>1.9800000000000002</v>
      </c>
      <c r="L6" s="9">
        <f>C6*12/100</f>
        <v>21.6</v>
      </c>
      <c r="M6" s="9">
        <f>C6*18/100</f>
        <v>32.4</v>
      </c>
      <c r="N6" s="9">
        <f>C6*5/100</f>
        <v>9</v>
      </c>
      <c r="O6" s="9">
        <f>C6*0.2/100</f>
        <v>0.36</v>
      </c>
      <c r="P6" s="6"/>
      <c r="Q6" s="4"/>
      <c r="R6" s="2"/>
    </row>
    <row r="7" spans="1:18" x14ac:dyDescent="0.25">
      <c r="A7" s="5" t="s">
        <v>256</v>
      </c>
      <c r="B7" s="8" t="s">
        <v>257</v>
      </c>
      <c r="C7" s="5">
        <v>40</v>
      </c>
      <c r="D7" s="5">
        <v>2.4500000000000002</v>
      </c>
      <c r="E7" s="9">
        <v>7.55</v>
      </c>
      <c r="F7" s="9">
        <v>14.62</v>
      </c>
      <c r="G7" s="9">
        <f>F7*4+E7*9+D7*4</f>
        <v>136.23000000000002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 t="s">
        <v>20</v>
      </c>
      <c r="R8" s="2"/>
    </row>
    <row r="9" spans="1:18" x14ac:dyDescent="0.25">
      <c r="A9" s="5" t="s">
        <v>56</v>
      </c>
      <c r="B9" s="8" t="s">
        <v>55</v>
      </c>
      <c r="C9" s="5">
        <v>200</v>
      </c>
      <c r="D9" s="9">
        <v>2.7</v>
      </c>
      <c r="E9" s="9">
        <v>2.8</v>
      </c>
      <c r="F9" s="9">
        <v>22.4</v>
      </c>
      <c r="G9" s="9">
        <f>F9*4+E9*9+D9*4</f>
        <v>125.6</v>
      </c>
      <c r="H9" s="9">
        <v>0.22</v>
      </c>
      <c r="I9" s="9">
        <v>1.3</v>
      </c>
      <c r="J9" s="9">
        <v>0.02</v>
      </c>
      <c r="K9" s="10">
        <v>0</v>
      </c>
      <c r="L9" s="5">
        <v>125.78</v>
      </c>
      <c r="M9" s="9">
        <v>90</v>
      </c>
      <c r="N9" s="9">
        <v>14</v>
      </c>
      <c r="O9" s="9">
        <v>0.13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0">SUM(D6:D9)</f>
        <v>13.370000000000001</v>
      </c>
      <c r="E10" s="15">
        <f t="shared" si="0"/>
        <v>19.07</v>
      </c>
      <c r="F10" s="16">
        <f t="shared" si="0"/>
        <v>83.68</v>
      </c>
      <c r="G10" s="16">
        <f t="shared" si="0"/>
        <v>559.83000000000004</v>
      </c>
      <c r="H10" s="16">
        <f t="shared" si="0"/>
        <v>0.318</v>
      </c>
      <c r="I10" s="16">
        <f t="shared" si="0"/>
        <v>1.3</v>
      </c>
      <c r="J10" s="15">
        <f t="shared" si="0"/>
        <v>0.02</v>
      </c>
      <c r="K10" s="15">
        <f t="shared" si="0"/>
        <v>2.66</v>
      </c>
      <c r="L10" s="15">
        <f t="shared" si="0"/>
        <v>154.98000000000002</v>
      </c>
      <c r="M10" s="16">
        <f t="shared" si="0"/>
        <v>148.4</v>
      </c>
      <c r="N10" s="16">
        <f t="shared" si="0"/>
        <v>28.2</v>
      </c>
      <c r="O10" s="15">
        <f t="shared" si="0"/>
        <v>0.97</v>
      </c>
      <c r="P10" s="6"/>
      <c r="Q10" s="4"/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/>
      <c r="B12" s="8" t="s">
        <v>62</v>
      </c>
      <c r="C12" s="5">
        <v>80</v>
      </c>
      <c r="D12" s="5">
        <f>C12*0.7/100</f>
        <v>0.56000000000000005</v>
      </c>
      <c r="E12" s="9">
        <f>C12*0.1/100</f>
        <v>0.08</v>
      </c>
      <c r="F12" s="5">
        <f>C12*1.9/100</f>
        <v>1.52</v>
      </c>
      <c r="G12" s="5">
        <f>F12*4+E12*9+D12*4</f>
        <v>9.0399999999999991</v>
      </c>
      <c r="H12" s="5">
        <f>C12*0.03/100</f>
        <v>2.4E-2</v>
      </c>
      <c r="I12" s="9">
        <f>C12*7/100</f>
        <v>5.6</v>
      </c>
      <c r="J12" s="10">
        <v>0</v>
      </c>
      <c r="K12" s="9">
        <v>0.1</v>
      </c>
      <c r="L12" s="9">
        <f>C12*17/100</f>
        <v>13.6</v>
      </c>
      <c r="M12" s="9">
        <f>C12*30/100</f>
        <v>24</v>
      </c>
      <c r="N12" s="9">
        <f>C12*14/100</f>
        <v>11.2</v>
      </c>
      <c r="O12" s="9">
        <f>C12*0.5/100</f>
        <v>0.4</v>
      </c>
      <c r="P12" s="6"/>
      <c r="Q12" s="4"/>
      <c r="R12" s="2"/>
    </row>
    <row r="13" spans="1:18" ht="25.5" x14ac:dyDescent="0.25">
      <c r="A13" s="5" t="s">
        <v>109</v>
      </c>
      <c r="B13" s="20" t="s">
        <v>108</v>
      </c>
      <c r="C13" s="5">
        <v>250</v>
      </c>
      <c r="D13" s="9">
        <v>2</v>
      </c>
      <c r="E13" s="9">
        <v>4.3</v>
      </c>
      <c r="F13" s="9">
        <v>10</v>
      </c>
      <c r="G13" s="9">
        <f t="shared" ref="G13:G20" si="1">F13*4+E13*9+D13*4</f>
        <v>86.699999999999989</v>
      </c>
      <c r="H13" s="5">
        <v>0.06</v>
      </c>
      <c r="I13" s="9">
        <v>15.78</v>
      </c>
      <c r="J13" s="10">
        <v>0</v>
      </c>
      <c r="K13" s="9">
        <v>0.8</v>
      </c>
      <c r="L13" s="9">
        <v>65</v>
      </c>
      <c r="M13" s="9">
        <v>185</v>
      </c>
      <c r="N13" s="9">
        <v>25</v>
      </c>
      <c r="O13" s="9">
        <v>0.83</v>
      </c>
      <c r="P13" s="6"/>
      <c r="Q13" s="4"/>
      <c r="R13" s="139"/>
    </row>
    <row r="14" spans="1:18" x14ac:dyDescent="0.25">
      <c r="A14" s="5" t="s">
        <v>66</v>
      </c>
      <c r="B14" s="8" t="s">
        <v>298</v>
      </c>
      <c r="C14" s="5">
        <v>180</v>
      </c>
      <c r="D14" s="9">
        <f>C14*5.9/100</f>
        <v>10.62</v>
      </c>
      <c r="E14" s="9">
        <f>C14*3.4/100</f>
        <v>6.12</v>
      </c>
      <c r="F14" s="9">
        <f>C14*31.6/100</f>
        <v>56.88</v>
      </c>
      <c r="G14" s="9">
        <f t="shared" si="1"/>
        <v>325.08000000000004</v>
      </c>
      <c r="H14" s="5">
        <f>C14*0.08/100</f>
        <v>0.14400000000000002</v>
      </c>
      <c r="I14" s="10">
        <v>0</v>
      </c>
      <c r="J14" s="10">
        <v>0</v>
      </c>
      <c r="K14" s="5">
        <f>C14*0.9/100</f>
        <v>1.62</v>
      </c>
      <c r="L14" s="9">
        <f>C14*12/100</f>
        <v>21.6</v>
      </c>
      <c r="M14" s="9">
        <f>C14*72/100</f>
        <v>129.6</v>
      </c>
      <c r="N14" s="9">
        <f>C14*49/100</f>
        <v>88.2</v>
      </c>
      <c r="O14" s="5">
        <f>C14*1.6/100</f>
        <v>2.88</v>
      </c>
      <c r="P14" s="6"/>
      <c r="Q14" s="4"/>
      <c r="R14" s="2"/>
    </row>
    <row r="15" spans="1:18" x14ac:dyDescent="0.25">
      <c r="A15" s="5" t="s">
        <v>300</v>
      </c>
      <c r="B15" s="8" t="s">
        <v>67</v>
      </c>
      <c r="C15" s="5">
        <v>90</v>
      </c>
      <c r="D15" s="5">
        <f>C15*14.3/100</f>
        <v>12.87</v>
      </c>
      <c r="E15" s="5">
        <f>C15*17.1/100</f>
        <v>15.390000000000002</v>
      </c>
      <c r="F15" s="9">
        <f>C15*9.5/100</f>
        <v>8.5500000000000007</v>
      </c>
      <c r="G15" s="5">
        <f t="shared" si="1"/>
        <v>224.19000000000003</v>
      </c>
      <c r="H15" s="23">
        <f>C15*0.08/100</f>
        <v>7.2000000000000008E-2</v>
      </c>
      <c r="I15" s="23">
        <f>C15*0.8/100</f>
        <v>0.72</v>
      </c>
      <c r="J15" s="23">
        <f>C15*0.04/100</f>
        <v>3.6000000000000004E-2</v>
      </c>
      <c r="K15" s="23">
        <f>C15*1.8/100</f>
        <v>1.62</v>
      </c>
      <c r="L15" s="23">
        <f>C15*58/100</f>
        <v>52.2</v>
      </c>
      <c r="M15" s="23">
        <f>C15*108/100</f>
        <v>97.2</v>
      </c>
      <c r="N15" s="23">
        <f>C15*30/100</f>
        <v>27</v>
      </c>
      <c r="O15" s="23">
        <f>C15*1.8/100</f>
        <v>1.62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1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1"/>
        <v>118</v>
      </c>
      <c r="H17" s="9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1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72</v>
      </c>
      <c r="B19" s="8" t="s">
        <v>71</v>
      </c>
      <c r="C19" s="5">
        <v>200</v>
      </c>
      <c r="D19" s="9">
        <v>0.3</v>
      </c>
      <c r="E19" s="10">
        <v>0</v>
      </c>
      <c r="F19" s="9">
        <v>15.2</v>
      </c>
      <c r="G19" s="9">
        <f t="shared" si="1"/>
        <v>62</v>
      </c>
      <c r="H19" s="10">
        <v>0</v>
      </c>
      <c r="I19" s="9">
        <v>2.2000000000000002</v>
      </c>
      <c r="J19" s="10">
        <v>0</v>
      </c>
      <c r="K19" s="10">
        <v>0</v>
      </c>
      <c r="L19" s="9">
        <v>16</v>
      </c>
      <c r="M19" s="9">
        <v>8</v>
      </c>
      <c r="N19" s="9">
        <v>6</v>
      </c>
      <c r="O19" s="9">
        <v>0.8</v>
      </c>
      <c r="P19" s="6"/>
      <c r="Q19" s="4"/>
      <c r="R19" s="2"/>
    </row>
    <row r="20" spans="1:18" x14ac:dyDescent="0.25">
      <c r="A20" s="5"/>
      <c r="B20" s="8" t="s">
        <v>73</v>
      </c>
      <c r="C20" s="5">
        <v>100</v>
      </c>
      <c r="D20" s="9">
        <v>1.5</v>
      </c>
      <c r="E20" s="9">
        <v>0.5</v>
      </c>
      <c r="F20" s="9">
        <v>21</v>
      </c>
      <c r="G20" s="9">
        <f t="shared" si="1"/>
        <v>94.5</v>
      </c>
      <c r="H20" s="5">
        <v>0.04</v>
      </c>
      <c r="I20" s="9">
        <v>10</v>
      </c>
      <c r="J20" s="10">
        <v>0</v>
      </c>
      <c r="K20" s="9">
        <v>0.4</v>
      </c>
      <c r="L20" s="9">
        <v>8</v>
      </c>
      <c r="M20" s="9">
        <v>28</v>
      </c>
      <c r="N20" s="9">
        <v>42</v>
      </c>
      <c r="O20" s="9">
        <v>0.6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6">
        <f t="shared" ref="D21:O21" si="2">SUM(D12:D20)</f>
        <v>35.119999999999997</v>
      </c>
      <c r="E21" s="16">
        <f t="shared" si="2"/>
        <v>30.11</v>
      </c>
      <c r="F21" s="16">
        <f t="shared" si="2"/>
        <v>158.28</v>
      </c>
      <c r="G21" s="16">
        <f t="shared" si="2"/>
        <v>1044.5900000000001</v>
      </c>
      <c r="H21" s="16">
        <f t="shared" si="2"/>
        <v>0.46700000000000003</v>
      </c>
      <c r="I21" s="16">
        <f t="shared" si="2"/>
        <v>34.69</v>
      </c>
      <c r="J21" s="16">
        <f t="shared" si="2"/>
        <v>3.6000000000000004E-2</v>
      </c>
      <c r="K21" s="16">
        <f t="shared" si="2"/>
        <v>5.65</v>
      </c>
      <c r="L21" s="16">
        <f t="shared" si="2"/>
        <v>200.40999999999997</v>
      </c>
      <c r="M21" s="16">
        <f t="shared" si="2"/>
        <v>567.5</v>
      </c>
      <c r="N21" s="16">
        <f t="shared" si="2"/>
        <v>242.70000000000002</v>
      </c>
      <c r="O21" s="16">
        <f t="shared" si="2"/>
        <v>9.34</v>
      </c>
      <c r="P21" s="6"/>
      <c r="Q21" s="4"/>
      <c r="R21" s="2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3">D10+D21</f>
        <v>48.489999999999995</v>
      </c>
      <c r="E23" s="16">
        <f t="shared" si="3"/>
        <v>49.18</v>
      </c>
      <c r="F23" s="16">
        <f t="shared" si="3"/>
        <v>241.96</v>
      </c>
      <c r="G23" s="16">
        <f t="shared" si="3"/>
        <v>1604.42</v>
      </c>
      <c r="H23" s="16">
        <f t="shared" si="3"/>
        <v>0.78500000000000003</v>
      </c>
      <c r="I23" s="16">
        <f t="shared" si="3"/>
        <v>35.989999999999995</v>
      </c>
      <c r="J23" s="16">
        <f t="shared" si="3"/>
        <v>5.6000000000000008E-2</v>
      </c>
      <c r="K23" s="16">
        <f t="shared" si="3"/>
        <v>8.31</v>
      </c>
      <c r="L23" s="15">
        <f t="shared" si="3"/>
        <v>355.39</v>
      </c>
      <c r="M23" s="16">
        <f t="shared" si="3"/>
        <v>715.9</v>
      </c>
      <c r="N23" s="16">
        <f t="shared" si="3"/>
        <v>270.90000000000003</v>
      </c>
      <c r="O23" s="15">
        <f t="shared" si="3"/>
        <v>10.31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77</v>
      </c>
      <c r="B25" s="8" t="s">
        <v>76</v>
      </c>
      <c r="C25" s="5">
        <v>80</v>
      </c>
      <c r="D25" s="5">
        <f>C25*3.95/50</f>
        <v>6.32</v>
      </c>
      <c r="E25" s="9">
        <f>C25*4.06/50</f>
        <v>6.4959999999999987</v>
      </c>
      <c r="F25" s="9">
        <f>C25*27.24/50</f>
        <v>43.583999999999996</v>
      </c>
      <c r="G25" s="9">
        <f>F25*4+E25*9+D25*4</f>
        <v>258.07999999999993</v>
      </c>
      <c r="H25" s="22">
        <f>C25*0.11/100</f>
        <v>8.8000000000000009E-2</v>
      </c>
      <c r="I25" s="35">
        <v>0</v>
      </c>
      <c r="J25" s="22">
        <f>C25*0.018/100</f>
        <v>1.44E-2</v>
      </c>
      <c r="K25" s="23">
        <f>C25*4/100</f>
        <v>3.2</v>
      </c>
      <c r="L25" s="23">
        <f>C25*31/100</f>
        <v>24.8</v>
      </c>
      <c r="M25" s="23">
        <f>C25*89/100</f>
        <v>71.2</v>
      </c>
      <c r="N25" s="23">
        <f>C25*13/100</f>
        <v>10.4</v>
      </c>
      <c r="O25" s="22">
        <f>C25*1.3/100</f>
        <v>1.04</v>
      </c>
      <c r="P25" s="6"/>
      <c r="Q25" s="4"/>
      <c r="R25" s="2"/>
    </row>
    <row r="26" spans="1:18" x14ac:dyDescent="0.25">
      <c r="A26" s="5" t="s">
        <v>101</v>
      </c>
      <c r="B26" s="8" t="s">
        <v>75</v>
      </c>
      <c r="C26" s="5">
        <v>200</v>
      </c>
      <c r="D26" s="9">
        <v>0.2</v>
      </c>
      <c r="E26" s="10">
        <v>0</v>
      </c>
      <c r="F26" s="9">
        <v>14</v>
      </c>
      <c r="G26" s="9">
        <f>F26*4+E26*9+D26*4</f>
        <v>56.8</v>
      </c>
      <c r="H26" s="10">
        <v>0</v>
      </c>
      <c r="I26" s="10">
        <v>0</v>
      </c>
      <c r="J26" s="10">
        <v>0</v>
      </c>
      <c r="K26" s="10">
        <v>0</v>
      </c>
      <c r="L26" s="9">
        <v>12</v>
      </c>
      <c r="M26" s="9">
        <v>4</v>
      </c>
      <c r="N26" s="9">
        <v>6</v>
      </c>
      <c r="O26" s="9">
        <v>0.4</v>
      </c>
      <c r="P26" s="6"/>
      <c r="Q26" s="4"/>
      <c r="R26" s="2"/>
    </row>
    <row r="27" spans="1:18" x14ac:dyDescent="0.25">
      <c r="A27" s="5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6"/>
      <c r="B37" s="78"/>
      <c r="C37" s="60"/>
      <c r="D37" s="60"/>
      <c r="E37" s="6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15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2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25">
      <c r="A48" s="149"/>
      <c r="B48" s="150"/>
      <c r="C48" s="6"/>
      <c r="D48" s="6"/>
      <c r="E48" s="6"/>
      <c r="F48" s="149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150"/>
      <c r="B49" s="150"/>
      <c r="C49" s="149"/>
      <c r="D49" s="149"/>
      <c r="E49" s="149"/>
      <c r="F49" s="150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150"/>
      <c r="B50" s="150"/>
      <c r="C50" s="150"/>
      <c r="D50" s="150"/>
      <c r="E50" s="150"/>
      <c r="F50" s="150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150"/>
      <c r="B51" s="150"/>
      <c r="C51" s="150"/>
      <c r="D51" s="150"/>
      <c r="E51" s="150"/>
      <c r="F51" s="150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50"/>
      <c r="B52" s="150"/>
      <c r="C52" s="150"/>
      <c r="D52" s="150"/>
      <c r="E52" s="150"/>
      <c r="F52" s="150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150"/>
      <c r="B53" s="150"/>
      <c r="C53" s="150"/>
      <c r="D53" s="150"/>
      <c r="E53" s="150"/>
      <c r="F53" s="150"/>
    </row>
    <row r="54" spans="1:15" x14ac:dyDescent="0.25">
      <c r="A54" s="150"/>
      <c r="B54" s="150"/>
      <c r="C54" s="150"/>
      <c r="D54" s="150"/>
      <c r="E54" s="150"/>
      <c r="F54" s="150"/>
    </row>
    <row r="55" spans="1:15" x14ac:dyDescent="0.25">
      <c r="A55" s="150"/>
      <c r="B55" s="150"/>
      <c r="C55" s="150"/>
      <c r="D55" s="150"/>
      <c r="E55" s="150"/>
      <c r="F55" s="150"/>
    </row>
    <row r="56" spans="1:15" x14ac:dyDescent="0.25">
      <c r="A56" s="150"/>
      <c r="B56" s="150"/>
      <c r="C56" s="150"/>
      <c r="D56" s="150"/>
      <c r="E56" s="150"/>
      <c r="F56" s="150"/>
    </row>
    <row r="57" spans="1:15" x14ac:dyDescent="0.25">
      <c r="A57" s="150"/>
      <c r="B57" s="150"/>
      <c r="C57" s="150"/>
      <c r="D57" s="150"/>
      <c r="E57" s="150"/>
      <c r="F57" s="150"/>
    </row>
    <row r="58" spans="1:15" x14ac:dyDescent="0.25">
      <c r="A58" s="150"/>
      <c r="B58" s="150"/>
      <c r="C58" s="150"/>
      <c r="D58" s="150"/>
      <c r="E58" s="150"/>
      <c r="F58" s="150"/>
    </row>
    <row r="59" spans="1:15" x14ac:dyDescent="0.25">
      <c r="A59" s="150"/>
      <c r="B59" s="150"/>
      <c r="C59" s="150"/>
      <c r="D59" s="150"/>
      <c r="E59" s="150"/>
      <c r="F59" s="150"/>
    </row>
    <row r="60" spans="1:15" x14ac:dyDescent="0.25">
      <c r="A60" s="150"/>
      <c r="B60" s="150"/>
      <c r="C60" s="150"/>
      <c r="D60" s="150"/>
      <c r="E60" s="150"/>
      <c r="F60" s="150"/>
    </row>
    <row r="61" spans="1:15" x14ac:dyDescent="0.25">
      <c r="A61" s="150"/>
      <c r="B61" s="150"/>
      <c r="C61" s="150"/>
      <c r="D61" s="150"/>
      <c r="E61" s="150"/>
      <c r="F61" s="150"/>
    </row>
  </sheetData>
  <mergeCells count="17"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</mergeCells>
  <pageMargins left="0.25" right="0.25" top="0.562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view="pageLayout" zoomScaleNormal="110" workbookViewId="0">
      <selection activeCell="A65" sqref="A65:F70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9.140625" customWidth="1"/>
    <col min="8" max="9" width="5.710937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31" ht="17.25" x14ac:dyDescent="0.3">
      <c r="A1" s="130" t="s">
        <v>251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31" ht="17.25" x14ac:dyDescent="0.3">
      <c r="A2" s="130" t="s">
        <v>270</v>
      </c>
      <c r="B2" s="130"/>
      <c r="C2" s="197" t="s">
        <v>272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31" ht="15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</row>
    <row r="4" spans="1:31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</row>
    <row r="5" spans="1:31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31" x14ac:dyDescent="0.25">
      <c r="A6" s="5" t="s">
        <v>129</v>
      </c>
      <c r="B6" s="20" t="s">
        <v>128</v>
      </c>
      <c r="C6" s="5">
        <v>150</v>
      </c>
      <c r="D6" s="9">
        <f>C6*10/100</f>
        <v>15</v>
      </c>
      <c r="E6" s="9">
        <f>C6*16.7/100</f>
        <v>25.05</v>
      </c>
      <c r="F6" s="9">
        <f>C6*1.9/100</f>
        <v>2.85</v>
      </c>
      <c r="G6" s="9">
        <f>F6*4+E6*9+D6*4</f>
        <v>296.85000000000002</v>
      </c>
      <c r="H6" s="23">
        <f>C6*0.05/100</f>
        <v>7.4999999999999997E-2</v>
      </c>
      <c r="I6" s="35">
        <v>0</v>
      </c>
      <c r="J6" s="23">
        <f>C6*0.21/100</f>
        <v>0.315</v>
      </c>
      <c r="K6" s="22">
        <f>C6*0.47/100</f>
        <v>0.70499999999999996</v>
      </c>
      <c r="L6" s="23">
        <f>C6*54/100</f>
        <v>81</v>
      </c>
      <c r="M6" s="23">
        <f>C6*193/100</f>
        <v>289.5</v>
      </c>
      <c r="N6" s="23">
        <f>C6*11/100</f>
        <v>16.5</v>
      </c>
      <c r="O6" s="23">
        <f>C6*2.1/100</f>
        <v>3.15</v>
      </c>
      <c r="P6" s="6"/>
      <c r="Q6" s="4"/>
      <c r="R6" s="2"/>
    </row>
    <row r="7" spans="1:31" ht="25.5" x14ac:dyDescent="0.25">
      <c r="A7" s="5" t="s">
        <v>259</v>
      </c>
      <c r="B7" s="20" t="s">
        <v>258</v>
      </c>
      <c r="C7" s="5">
        <v>55</v>
      </c>
      <c r="D7" s="5">
        <v>2.4900000000000002</v>
      </c>
      <c r="E7" s="9">
        <v>3.93</v>
      </c>
      <c r="F7" s="9">
        <v>27.56</v>
      </c>
      <c r="G7" s="9">
        <f>F7*4+E7*9+D7*4</f>
        <v>155.57000000000002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6"/>
      <c r="Q7" s="4"/>
      <c r="R7" s="2"/>
    </row>
    <row r="8" spans="1:31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31" x14ac:dyDescent="0.25">
      <c r="A9" s="5" t="s">
        <v>127</v>
      </c>
      <c r="B9" s="8" t="s">
        <v>75</v>
      </c>
      <c r="C9" s="5">
        <v>200</v>
      </c>
      <c r="D9" s="9">
        <v>0.2</v>
      </c>
      <c r="E9" s="10">
        <v>0</v>
      </c>
      <c r="F9" s="9">
        <v>14</v>
      </c>
      <c r="G9" s="9">
        <f>F9*4+E9*9+D9*4</f>
        <v>56.8</v>
      </c>
      <c r="H9" s="10">
        <v>0</v>
      </c>
      <c r="I9" s="10">
        <v>0</v>
      </c>
      <c r="J9" s="10">
        <v>0</v>
      </c>
      <c r="K9" s="10">
        <v>0</v>
      </c>
      <c r="L9" s="9">
        <v>12</v>
      </c>
      <c r="M9" s="9">
        <v>4</v>
      </c>
      <c r="N9" s="9">
        <v>6</v>
      </c>
      <c r="O9" s="9">
        <v>0.8</v>
      </c>
      <c r="P9" s="6"/>
      <c r="Q9" s="4"/>
      <c r="R9" s="2"/>
    </row>
    <row r="10" spans="1:31" x14ac:dyDescent="0.25">
      <c r="A10" s="205" t="s">
        <v>58</v>
      </c>
      <c r="B10" s="207"/>
      <c r="C10" s="15"/>
      <c r="D10" s="15">
        <f t="shared" ref="D10:O10" si="0">SUM(D6:D9)</f>
        <v>20.69</v>
      </c>
      <c r="E10" s="15">
        <f t="shared" si="0"/>
        <v>30.14</v>
      </c>
      <c r="F10" s="16">
        <f t="shared" si="0"/>
        <v>64.97</v>
      </c>
      <c r="G10" s="16">
        <f t="shared" si="0"/>
        <v>613.9</v>
      </c>
      <c r="H10" s="16">
        <f t="shared" si="0"/>
        <v>0.11899999999999999</v>
      </c>
      <c r="I10" s="19">
        <f t="shared" si="0"/>
        <v>0</v>
      </c>
      <c r="J10" s="15">
        <f t="shared" si="0"/>
        <v>0.315</v>
      </c>
      <c r="K10" s="16">
        <f t="shared" si="0"/>
        <v>1.385</v>
      </c>
      <c r="L10" s="16">
        <f t="shared" si="0"/>
        <v>100.6</v>
      </c>
      <c r="M10" s="16">
        <f t="shared" si="0"/>
        <v>319.5</v>
      </c>
      <c r="N10" s="16">
        <f t="shared" si="0"/>
        <v>27.7</v>
      </c>
      <c r="O10" s="15">
        <f t="shared" si="0"/>
        <v>4.43</v>
      </c>
      <c r="P10" s="6"/>
      <c r="Q10" s="4" t="s">
        <v>20</v>
      </c>
      <c r="R10" s="2"/>
    </row>
    <row r="11" spans="1:31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31" x14ac:dyDescent="0.25">
      <c r="A12" s="22" t="s">
        <v>111</v>
      </c>
      <c r="B12" s="8" t="s">
        <v>110</v>
      </c>
      <c r="C12" s="5">
        <v>100</v>
      </c>
      <c r="D12" s="9">
        <v>1.2</v>
      </c>
      <c r="E12" s="9">
        <v>4.9000000000000004</v>
      </c>
      <c r="F12" s="9">
        <v>4.5</v>
      </c>
      <c r="G12" s="9">
        <f t="shared" ref="G12:G19" si="1">F12*4+E12*9+D12*4</f>
        <v>66.900000000000006</v>
      </c>
      <c r="H12" s="22">
        <v>0.04</v>
      </c>
      <c r="I12" s="23">
        <v>15.9</v>
      </c>
      <c r="J12" s="23">
        <v>0.06</v>
      </c>
      <c r="K12" s="23">
        <v>0.4</v>
      </c>
      <c r="L12" s="23">
        <v>46</v>
      </c>
      <c r="M12" s="23">
        <v>55</v>
      </c>
      <c r="N12" s="23">
        <v>15</v>
      </c>
      <c r="O12" s="23">
        <v>0.8</v>
      </c>
      <c r="P12" s="6"/>
      <c r="Q12" s="4"/>
      <c r="R12" s="2"/>
    </row>
    <row r="13" spans="1:31" x14ac:dyDescent="0.25">
      <c r="A13" s="5" t="s">
        <v>64</v>
      </c>
      <c r="B13" s="8" t="s">
        <v>63</v>
      </c>
      <c r="C13" s="5">
        <v>250</v>
      </c>
      <c r="D13" s="9">
        <v>6.2</v>
      </c>
      <c r="E13" s="9">
        <v>5.6</v>
      </c>
      <c r="F13" s="9">
        <v>22.3</v>
      </c>
      <c r="G13" s="9">
        <f t="shared" si="1"/>
        <v>164.4</v>
      </c>
      <c r="H13" s="5">
        <v>0.13</v>
      </c>
      <c r="I13" s="9">
        <v>4.5999999999999996</v>
      </c>
      <c r="J13" s="5">
        <v>0.01</v>
      </c>
      <c r="K13" s="10">
        <v>0</v>
      </c>
      <c r="L13" s="9">
        <v>58.24</v>
      </c>
      <c r="M13" s="9">
        <v>119.71</v>
      </c>
      <c r="N13" s="9">
        <v>33.619999999999997</v>
      </c>
      <c r="O13" s="5">
        <v>1.71</v>
      </c>
      <c r="P13" s="6"/>
      <c r="Q13" s="4"/>
      <c r="R13" s="2"/>
    </row>
    <row r="14" spans="1:31" ht="13.5" customHeight="1" x14ac:dyDescent="0.25">
      <c r="A14" s="5" t="s">
        <v>113</v>
      </c>
      <c r="B14" s="20" t="s">
        <v>112</v>
      </c>
      <c r="C14" s="5">
        <v>180</v>
      </c>
      <c r="D14" s="9">
        <f>C14*3.5/100</f>
        <v>6.3</v>
      </c>
      <c r="E14" s="5">
        <f>C14*4.1/100</f>
        <v>7.379999999999999</v>
      </c>
      <c r="F14" s="9">
        <f>C14*23.5/100</f>
        <v>42.3</v>
      </c>
      <c r="G14" s="9">
        <f t="shared" si="1"/>
        <v>260.82</v>
      </c>
      <c r="H14" s="5">
        <f>C14*0.04/100</f>
        <v>7.2000000000000008E-2</v>
      </c>
      <c r="I14" s="10">
        <v>0</v>
      </c>
      <c r="J14" s="10">
        <v>0</v>
      </c>
      <c r="K14" s="9">
        <f>C14*1.5/100</f>
        <v>2.7</v>
      </c>
      <c r="L14" s="9">
        <f>C14*24/100</f>
        <v>43.2</v>
      </c>
      <c r="M14" s="9">
        <f>C14*106/100</f>
        <v>190.8</v>
      </c>
      <c r="N14" s="9">
        <f>C14*17/100</f>
        <v>30.6</v>
      </c>
      <c r="O14" s="5">
        <f>C14*2.1/100</f>
        <v>3.78</v>
      </c>
      <c r="P14" s="6"/>
      <c r="Q14" s="193"/>
      <c r="R14" s="193"/>
      <c r="S14" s="194"/>
      <c r="T14" s="193"/>
      <c r="U14" s="193"/>
      <c r="V14" s="193"/>
      <c r="W14" s="194"/>
      <c r="X14" s="193"/>
      <c r="Y14" s="193"/>
      <c r="Z14" s="193"/>
      <c r="AA14" s="193"/>
      <c r="AB14" s="193"/>
      <c r="AC14" s="193"/>
      <c r="AD14" s="193"/>
      <c r="AE14" s="193"/>
    </row>
    <row r="15" spans="1:31" x14ac:dyDescent="0.25">
      <c r="A15" s="5" t="s">
        <v>115</v>
      </c>
      <c r="B15" s="8" t="s">
        <v>114</v>
      </c>
      <c r="C15" s="5">
        <v>100</v>
      </c>
      <c r="D15" s="9">
        <f>C15*13.9/100</f>
        <v>13.9</v>
      </c>
      <c r="E15" s="9">
        <f>C15*6.5/100</f>
        <v>6.5</v>
      </c>
      <c r="F15" s="9">
        <f>C15*4/100</f>
        <v>4</v>
      </c>
      <c r="G15" s="9">
        <f t="shared" si="1"/>
        <v>130.1</v>
      </c>
      <c r="H15" s="23">
        <f>C15*0.12/100</f>
        <v>0.12</v>
      </c>
      <c r="I15" s="23">
        <f>C15*0.9/100</f>
        <v>0.9</v>
      </c>
      <c r="J15" s="35">
        <v>0</v>
      </c>
      <c r="K15" s="23">
        <f>C15*0.6/100</f>
        <v>0.6</v>
      </c>
      <c r="L15" s="23">
        <f>C15*17/100</f>
        <v>17</v>
      </c>
      <c r="M15" s="23">
        <f>C15*146/100</f>
        <v>146</v>
      </c>
      <c r="N15" s="23">
        <f>C15*22/100</f>
        <v>22</v>
      </c>
      <c r="O15" s="23">
        <f>C15*1.6/100</f>
        <v>1.6</v>
      </c>
      <c r="P15" s="6"/>
      <c r="Q15" s="193"/>
      <c r="R15" s="193"/>
      <c r="S15" s="194"/>
      <c r="T15" s="113"/>
      <c r="U15" s="113"/>
      <c r="V15" s="113"/>
      <c r="W15" s="194"/>
      <c r="X15" s="113"/>
      <c r="Y15" s="113"/>
      <c r="Z15" s="113"/>
      <c r="AA15" s="113"/>
      <c r="AB15" s="113"/>
      <c r="AC15" s="113"/>
      <c r="AD15" s="113"/>
      <c r="AE15" s="113"/>
    </row>
    <row r="16" spans="1:31" x14ac:dyDescent="0.25">
      <c r="A16" s="5"/>
      <c r="B16" s="8" t="s">
        <v>19</v>
      </c>
      <c r="C16" s="5">
        <v>50</v>
      </c>
      <c r="D16" s="5">
        <f>C16*7.7/100</f>
        <v>3.85</v>
      </c>
      <c r="E16" s="9">
        <f>C16*0.8/100</f>
        <v>0.4</v>
      </c>
      <c r="F16" s="5">
        <f>C16*49.5/100</f>
        <v>24.75</v>
      </c>
      <c r="G16" s="9">
        <f t="shared" si="1"/>
        <v>118</v>
      </c>
      <c r="H16" s="5">
        <f>C16*0.11/100</f>
        <v>5.5E-2</v>
      </c>
      <c r="I16" s="10">
        <v>0</v>
      </c>
      <c r="J16" s="10">
        <v>0</v>
      </c>
      <c r="K16" s="5">
        <f>C16*1.1/100</f>
        <v>0.55000000000000004</v>
      </c>
      <c r="L16" s="9">
        <f>C16*20/100</f>
        <v>10</v>
      </c>
      <c r="M16" s="9">
        <f>C16*65/100</f>
        <v>32.5</v>
      </c>
      <c r="N16" s="9">
        <f>C16*49/100</f>
        <v>24.5</v>
      </c>
      <c r="O16" s="5">
        <f>C16*1.1/100</f>
        <v>0.55000000000000004</v>
      </c>
      <c r="P16" s="6"/>
      <c r="Q16" s="4"/>
      <c r="R16" s="2"/>
    </row>
    <row r="17" spans="1:18" x14ac:dyDescent="0.25">
      <c r="A17" s="5"/>
      <c r="B17" s="8" t="s">
        <v>36</v>
      </c>
      <c r="C17" s="5">
        <v>40</v>
      </c>
      <c r="D17" s="5">
        <f>C17*6.6/100</f>
        <v>2.64</v>
      </c>
      <c r="E17" s="5">
        <f>C17*1.1/100</f>
        <v>0.44</v>
      </c>
      <c r="F17" s="5">
        <f>C17*43.9/100</f>
        <v>17.559999999999999</v>
      </c>
      <c r="G17" s="5">
        <f t="shared" si="1"/>
        <v>84.759999999999991</v>
      </c>
      <c r="H17" s="9">
        <f>C17*0.18/100</f>
        <v>7.1999999999999995E-2</v>
      </c>
      <c r="I17" s="10">
        <v>0</v>
      </c>
      <c r="J17" s="10">
        <v>0</v>
      </c>
      <c r="K17" s="5">
        <f>C17*1.4/100</f>
        <v>0.56000000000000005</v>
      </c>
      <c r="L17" s="9">
        <f>C17*35/100</f>
        <v>14</v>
      </c>
      <c r="M17" s="9">
        <f>C17*158/100</f>
        <v>63.2</v>
      </c>
      <c r="N17" s="9">
        <f>C17*47/100</f>
        <v>18.8</v>
      </c>
      <c r="O17" s="5">
        <f>C17*3.9/100</f>
        <v>1.56</v>
      </c>
      <c r="P17" s="6"/>
      <c r="Q17" s="4"/>
      <c r="R17" s="2"/>
    </row>
    <row r="18" spans="1:18" ht="25.5" x14ac:dyDescent="0.25">
      <c r="A18" s="5" t="s">
        <v>103</v>
      </c>
      <c r="B18" s="20" t="s">
        <v>102</v>
      </c>
      <c r="C18" s="5">
        <v>200</v>
      </c>
      <c r="D18" s="10">
        <v>0</v>
      </c>
      <c r="E18" s="10">
        <v>0</v>
      </c>
      <c r="F18" s="9">
        <v>38.4</v>
      </c>
      <c r="G18" s="9">
        <f t="shared" si="1"/>
        <v>153.6</v>
      </c>
      <c r="H18" s="10">
        <v>0</v>
      </c>
      <c r="I18" s="10">
        <v>0</v>
      </c>
      <c r="J18" s="10">
        <v>0</v>
      </c>
      <c r="K18" s="10">
        <v>0</v>
      </c>
      <c r="L18" s="9">
        <f>C18*4.65/100</f>
        <v>9.3000000000000007</v>
      </c>
      <c r="M18" s="9">
        <f>C18*4.42/100</f>
        <v>8.84</v>
      </c>
      <c r="N18" s="10">
        <v>0</v>
      </c>
      <c r="O18" s="5">
        <f>C18*0.03/100</f>
        <v>0.06</v>
      </c>
      <c r="P18" s="6"/>
      <c r="Q18" s="4"/>
      <c r="R18" s="2"/>
    </row>
    <row r="19" spans="1:18" x14ac:dyDescent="0.25">
      <c r="A19" s="5"/>
      <c r="B19" s="8" t="s">
        <v>124</v>
      </c>
      <c r="C19" s="5">
        <v>100</v>
      </c>
      <c r="D19" s="9">
        <v>0.9</v>
      </c>
      <c r="E19" s="9">
        <v>0.2</v>
      </c>
      <c r="F19" s="9">
        <v>9.5</v>
      </c>
      <c r="G19" s="9">
        <f t="shared" si="1"/>
        <v>43.4</v>
      </c>
      <c r="H19" s="5">
        <v>0.04</v>
      </c>
      <c r="I19" s="9">
        <v>60</v>
      </c>
      <c r="J19" s="10">
        <v>0</v>
      </c>
      <c r="K19" s="9">
        <v>0.2</v>
      </c>
      <c r="L19" s="9">
        <v>34</v>
      </c>
      <c r="M19" s="9">
        <v>23</v>
      </c>
      <c r="N19" s="9">
        <v>13</v>
      </c>
      <c r="O19" s="9">
        <v>0.3</v>
      </c>
      <c r="P19" s="6"/>
      <c r="Q19" s="4"/>
      <c r="R19" s="2"/>
    </row>
    <row r="20" spans="1:18" x14ac:dyDescent="0.25">
      <c r="A20" s="205" t="s">
        <v>59</v>
      </c>
      <c r="B20" s="207"/>
      <c r="C20" s="5"/>
      <c r="D20" s="15">
        <f t="shared" ref="D20:O20" si="2">SUM(D12:D19)</f>
        <v>34.99</v>
      </c>
      <c r="E20" s="15">
        <f t="shared" si="2"/>
        <v>25.419999999999998</v>
      </c>
      <c r="F20" s="15">
        <f t="shared" si="2"/>
        <v>163.31</v>
      </c>
      <c r="G20" s="15">
        <f t="shared" si="2"/>
        <v>1021.98</v>
      </c>
      <c r="H20" s="16">
        <f t="shared" si="2"/>
        <v>0.52900000000000003</v>
      </c>
      <c r="I20" s="16">
        <f t="shared" si="2"/>
        <v>81.400000000000006</v>
      </c>
      <c r="J20" s="16">
        <f t="shared" si="2"/>
        <v>6.9999999999999993E-2</v>
      </c>
      <c r="K20" s="16">
        <f t="shared" si="2"/>
        <v>5.0100000000000007</v>
      </c>
      <c r="L20" s="16">
        <f t="shared" si="2"/>
        <v>231.74</v>
      </c>
      <c r="M20" s="16">
        <f t="shared" si="2"/>
        <v>639.05000000000007</v>
      </c>
      <c r="N20" s="16">
        <f t="shared" si="2"/>
        <v>157.52000000000001</v>
      </c>
      <c r="O20" s="16">
        <f t="shared" si="2"/>
        <v>10.360000000000001</v>
      </c>
      <c r="P20" s="6"/>
      <c r="Q20" s="4"/>
      <c r="R20" s="2"/>
    </row>
    <row r="21" spans="1:18" x14ac:dyDescent="0.25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6"/>
      <c r="Q21" s="4"/>
      <c r="R21" s="2"/>
    </row>
    <row r="22" spans="1:18" x14ac:dyDescent="0.25">
      <c r="A22" s="205" t="s">
        <v>57</v>
      </c>
      <c r="B22" s="207"/>
      <c r="C22" s="5"/>
      <c r="D22" s="16">
        <f t="shared" ref="D22:O22" si="3">D10+D20</f>
        <v>55.680000000000007</v>
      </c>
      <c r="E22" s="16">
        <f t="shared" si="3"/>
        <v>55.56</v>
      </c>
      <c r="F22" s="16">
        <f t="shared" si="3"/>
        <v>228.28</v>
      </c>
      <c r="G22" s="16">
        <f t="shared" si="3"/>
        <v>1635.88</v>
      </c>
      <c r="H22" s="16">
        <f t="shared" si="3"/>
        <v>0.64800000000000002</v>
      </c>
      <c r="I22" s="16">
        <f t="shared" si="3"/>
        <v>81.400000000000006</v>
      </c>
      <c r="J22" s="16">
        <f t="shared" si="3"/>
        <v>0.38500000000000001</v>
      </c>
      <c r="K22" s="16">
        <f t="shared" si="3"/>
        <v>6.3950000000000005</v>
      </c>
      <c r="L22" s="16">
        <f t="shared" si="3"/>
        <v>332.34000000000003</v>
      </c>
      <c r="M22" s="16">
        <f t="shared" si="3"/>
        <v>958.55000000000007</v>
      </c>
      <c r="N22" s="16">
        <f t="shared" si="3"/>
        <v>185.22</v>
      </c>
      <c r="O22" s="15">
        <f t="shared" si="3"/>
        <v>14.790000000000001</v>
      </c>
      <c r="P22" s="6"/>
      <c r="Q22" s="4"/>
      <c r="R22" s="2"/>
    </row>
    <row r="23" spans="1:18" x14ac:dyDescent="0.25">
      <c r="A23" s="205" t="s">
        <v>39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7"/>
      <c r="P23" s="6"/>
      <c r="Q23" s="4"/>
      <c r="R23" s="2"/>
    </row>
    <row r="24" spans="1:18" x14ac:dyDescent="0.25">
      <c r="A24" s="5" t="s">
        <v>77</v>
      </c>
      <c r="B24" s="8" t="s">
        <v>247</v>
      </c>
      <c r="C24" s="5">
        <v>80</v>
      </c>
      <c r="D24" s="5">
        <f>C24*3.95/50</f>
        <v>6.32</v>
      </c>
      <c r="E24" s="9">
        <f>C24*4.06/50</f>
        <v>6.4959999999999987</v>
      </c>
      <c r="F24" s="9">
        <f>C24*27.24/50</f>
        <v>43.583999999999996</v>
      </c>
      <c r="G24" s="9">
        <f>F24*4+E24*9+D24*4</f>
        <v>258.07999999999993</v>
      </c>
      <c r="H24" s="22">
        <f>C24*0.11/100</f>
        <v>8.8000000000000009E-2</v>
      </c>
      <c r="I24" s="35">
        <v>0</v>
      </c>
      <c r="J24" s="22">
        <f>C24*0.018/100</f>
        <v>1.44E-2</v>
      </c>
      <c r="K24" s="23">
        <f>C24*4/100</f>
        <v>3.2</v>
      </c>
      <c r="L24" s="23">
        <f>C24*31/100</f>
        <v>24.8</v>
      </c>
      <c r="M24" s="23">
        <f>C24*89/100</f>
        <v>71.2</v>
      </c>
      <c r="N24" s="23">
        <f>C24*13/100</f>
        <v>10.4</v>
      </c>
      <c r="O24" s="22">
        <f>C24*1.3/100</f>
        <v>1.04</v>
      </c>
      <c r="P24" s="6"/>
      <c r="Q24" s="4"/>
      <c r="R24" s="2"/>
    </row>
    <row r="25" spans="1:18" x14ac:dyDescent="0.25">
      <c r="A25" s="5" t="s">
        <v>127</v>
      </c>
      <c r="B25" s="8" t="s">
        <v>75</v>
      </c>
      <c r="C25" s="5">
        <v>200</v>
      </c>
      <c r="D25" s="9">
        <v>0.2</v>
      </c>
      <c r="E25" s="10">
        <v>0</v>
      </c>
      <c r="F25" s="9">
        <v>14</v>
      </c>
      <c r="G25" s="9">
        <f>F25*4+E25*9+D25*4</f>
        <v>56.8</v>
      </c>
      <c r="H25" s="10">
        <v>0</v>
      </c>
      <c r="I25" s="10">
        <v>0</v>
      </c>
      <c r="J25" s="10">
        <v>0</v>
      </c>
      <c r="K25" s="10">
        <v>0</v>
      </c>
      <c r="L25" s="9">
        <v>12</v>
      </c>
      <c r="M25" s="9">
        <v>4</v>
      </c>
      <c r="N25" s="9">
        <v>6</v>
      </c>
      <c r="O25" s="9">
        <v>0.8</v>
      </c>
      <c r="P25" s="6"/>
      <c r="Q25" s="4"/>
      <c r="R25" s="2"/>
    </row>
    <row r="26" spans="1:18" x14ac:dyDescent="0.25">
      <c r="A26" s="125"/>
      <c r="B26" s="126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6"/>
      <c r="Q26" s="4"/>
      <c r="R26" s="2"/>
    </row>
    <row r="27" spans="1:18" x14ac:dyDescent="0.25">
      <c r="A27" s="127"/>
      <c r="B27" s="128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6"/>
      <c r="Q27" s="4"/>
      <c r="R27" s="2"/>
    </row>
    <row r="28" spans="1:18" x14ac:dyDescent="0.25">
      <c r="A28" s="6"/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ht="15" customHeight="1" x14ac:dyDescent="0.25">
      <c r="A32" s="193"/>
      <c r="B32" s="193"/>
      <c r="C32" s="194"/>
      <c r="D32" s="193"/>
      <c r="E32" s="193"/>
      <c r="F32" s="193"/>
      <c r="G32" s="194"/>
      <c r="H32" s="193"/>
      <c r="I32" s="193"/>
      <c r="J32" s="193"/>
      <c r="K32" s="193"/>
      <c r="L32" s="193"/>
      <c r="M32" s="193"/>
      <c r="N32" s="193"/>
      <c r="O32" s="193"/>
      <c r="P32" s="6"/>
      <c r="Q32" s="4"/>
      <c r="R32" s="2"/>
    </row>
    <row r="33" spans="1:18" x14ac:dyDescent="0.25">
      <c r="A33" s="193"/>
      <c r="B33" s="193"/>
      <c r="C33" s="194"/>
      <c r="D33" s="113"/>
      <c r="E33" s="113"/>
      <c r="F33" s="113"/>
      <c r="G33" s="194"/>
      <c r="H33" s="113"/>
      <c r="I33" s="113"/>
      <c r="J33" s="113"/>
      <c r="K33" s="113"/>
      <c r="L33" s="113"/>
      <c r="M33" s="113"/>
      <c r="N33" s="113"/>
      <c r="O33" s="113"/>
      <c r="P33" s="6"/>
      <c r="Q33" s="4"/>
      <c r="R33" s="2"/>
    </row>
    <row r="34" spans="1:18" x14ac:dyDescent="0.25">
      <c r="A34" s="58"/>
      <c r="B34" s="58"/>
      <c r="C34" s="58"/>
      <c r="D34" s="58"/>
      <c r="E34" s="58"/>
      <c r="F34" s="133"/>
      <c r="G34" s="58"/>
      <c r="H34" s="58"/>
      <c r="I34" s="58"/>
      <c r="J34" s="58"/>
      <c r="K34" s="58"/>
      <c r="L34" s="58"/>
      <c r="M34" s="58"/>
      <c r="N34" s="58"/>
      <c r="O34" s="58"/>
      <c r="P34" s="6"/>
      <c r="Q34" s="4"/>
      <c r="R34" s="2"/>
    </row>
    <row r="35" spans="1:18" x14ac:dyDescent="0.25">
      <c r="A35" s="6"/>
      <c r="B35" s="134"/>
      <c r="C35" s="6"/>
      <c r="D35" s="6"/>
      <c r="E35" s="44"/>
      <c r="F35" s="44"/>
      <c r="G35" s="44"/>
      <c r="H35" s="135"/>
      <c r="I35" s="136"/>
      <c r="J35" s="137"/>
      <c r="K35" s="137"/>
      <c r="L35" s="135"/>
      <c r="M35" s="135"/>
      <c r="N35" s="135"/>
      <c r="O35" s="135"/>
      <c r="P35" s="6"/>
      <c r="Q35" s="4"/>
      <c r="R35" s="2"/>
    </row>
    <row r="36" spans="1:18" x14ac:dyDescent="0.25">
      <c r="A36" s="6"/>
      <c r="B36" s="17"/>
      <c r="C36" s="6"/>
      <c r="D36" s="6"/>
      <c r="E36" s="44"/>
      <c r="F36" s="44"/>
      <c r="G36" s="44"/>
      <c r="H36" s="6"/>
      <c r="I36" s="45"/>
      <c r="J36" s="6"/>
      <c r="K36" s="6"/>
      <c r="L36" s="44"/>
      <c r="M36" s="44"/>
      <c r="N36" s="6"/>
      <c r="O36" s="6"/>
      <c r="P36" s="6"/>
      <c r="Q36" s="4"/>
      <c r="R36" s="2"/>
    </row>
    <row r="37" spans="1:18" x14ac:dyDescent="0.25">
      <c r="A37" s="6"/>
      <c r="B37" s="17"/>
      <c r="C37" s="6"/>
      <c r="D37" s="44"/>
      <c r="E37" s="6"/>
      <c r="F37" s="6"/>
      <c r="G37" s="44"/>
      <c r="H37" s="44"/>
      <c r="I37" s="45"/>
      <c r="J37" s="45"/>
      <c r="K37" s="6"/>
      <c r="L37" s="44"/>
      <c r="M37" s="44"/>
      <c r="N37" s="44"/>
      <c r="O37" s="6"/>
      <c r="P37" s="6"/>
      <c r="Q37" s="4"/>
      <c r="R37" s="2"/>
    </row>
    <row r="38" spans="1:18" x14ac:dyDescent="0.25">
      <c r="A38" s="6"/>
      <c r="B38" s="17"/>
      <c r="C38" s="6"/>
      <c r="D38" s="44"/>
      <c r="E38" s="45"/>
      <c r="F38" s="44"/>
      <c r="G38" s="45"/>
      <c r="H38" s="6"/>
      <c r="I38" s="6"/>
      <c r="J38" s="45"/>
      <c r="K38" s="6"/>
      <c r="L38" s="6"/>
      <c r="M38" s="6"/>
      <c r="N38" s="6"/>
      <c r="O38" s="44"/>
      <c r="P38" s="6"/>
      <c r="Q38" s="4"/>
      <c r="R38" s="2"/>
    </row>
    <row r="39" spans="1:18" x14ac:dyDescent="0.25">
      <c r="A39" s="6"/>
      <c r="B39" s="1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</row>
    <row r="40" spans="1:18" x14ac:dyDescent="0.25">
      <c r="A40" s="6"/>
      <c r="B40" s="1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</row>
    <row r="41" spans="1:18" x14ac:dyDescent="0.25">
      <c r="A41" s="6"/>
      <c r="B41" s="1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</row>
    <row r="42" spans="1:18" x14ac:dyDescent="0.25">
      <c r="A42" s="6"/>
      <c r="B42" s="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</row>
    <row r="43" spans="1:18" x14ac:dyDescent="0.25">
      <c r="A43" s="6"/>
      <c r="B43" s="1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</row>
    <row r="44" spans="1:18" x14ac:dyDescent="0.25">
      <c r="A44" s="6"/>
      <c r="B44" s="1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</row>
    <row r="45" spans="1:18" x14ac:dyDescent="0.25">
      <c r="A45" s="6"/>
      <c r="B45" s="78"/>
      <c r="C45" s="60"/>
      <c r="D45" s="60"/>
      <c r="E45" s="6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</row>
    <row r="49" spans="1:17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</row>
    <row r="50" spans="1:17" x14ac:dyDescent="0.25">
      <c r="A50" s="6"/>
      <c r="B50" s="15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</row>
    <row r="51" spans="1:17" x14ac:dyDescent="0.25">
      <c r="A51" s="6"/>
      <c r="B51" s="15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"/>
    </row>
    <row r="52" spans="1:17" x14ac:dyDescent="0.25">
      <c r="A52" s="6"/>
      <c r="B52" s="15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4"/>
    </row>
    <row r="53" spans="1:17" x14ac:dyDescent="0.25">
      <c r="A53" s="6"/>
      <c r="B53" s="150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</row>
    <row r="54" spans="1:17" x14ac:dyDescent="0.25">
      <c r="A54" s="6"/>
      <c r="B54" s="150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4"/>
    </row>
    <row r="55" spans="1:17" x14ac:dyDescent="0.25">
      <c r="A55" s="6"/>
      <c r="B55" s="150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4"/>
    </row>
    <row r="56" spans="1:17" x14ac:dyDescent="0.25">
      <c r="A56" s="6"/>
      <c r="B56" s="150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4"/>
    </row>
    <row r="57" spans="1:17" x14ac:dyDescent="0.25">
      <c r="A57" s="149"/>
      <c r="B57" s="150"/>
      <c r="C57" s="149"/>
      <c r="D57" s="149"/>
      <c r="E57" s="149"/>
      <c r="F57" s="149"/>
      <c r="G57" s="7"/>
      <c r="H57" s="7"/>
      <c r="I57" s="7"/>
      <c r="J57" s="7"/>
      <c r="K57" s="7"/>
      <c r="L57" s="7"/>
      <c r="M57" s="7"/>
      <c r="N57" s="7"/>
      <c r="O57" s="7"/>
      <c r="P57" s="7"/>
      <c r="Q57" s="2"/>
    </row>
    <row r="58" spans="1:17" x14ac:dyDescent="0.25">
      <c r="A58" s="150"/>
      <c r="B58" s="150"/>
      <c r="C58" s="150"/>
      <c r="D58" s="150"/>
      <c r="E58" s="150"/>
      <c r="F58" s="150"/>
      <c r="G58" s="2"/>
      <c r="H58" s="2"/>
      <c r="I58" s="2"/>
      <c r="J58" s="2"/>
      <c r="K58" s="2"/>
      <c r="L58" s="2"/>
      <c r="M58" s="2"/>
      <c r="N58" s="2"/>
      <c r="O58" s="2"/>
    </row>
    <row r="59" spans="1:17" x14ac:dyDescent="0.25">
      <c r="A59" s="150"/>
      <c r="B59" s="150"/>
      <c r="C59" s="150"/>
      <c r="D59" s="150"/>
      <c r="E59" s="150"/>
      <c r="F59" s="150"/>
      <c r="G59" s="2"/>
      <c r="H59" s="2"/>
      <c r="I59" s="2"/>
      <c r="J59" s="2"/>
      <c r="K59" s="2"/>
      <c r="L59" s="2"/>
      <c r="M59" s="2"/>
      <c r="N59" s="2"/>
      <c r="O59" s="2"/>
    </row>
    <row r="60" spans="1:17" x14ac:dyDescent="0.25">
      <c r="A60" s="150"/>
      <c r="B60" s="150"/>
      <c r="C60" s="150"/>
      <c r="D60" s="150"/>
      <c r="E60" s="150"/>
      <c r="F60" s="150"/>
      <c r="G60" s="2"/>
      <c r="H60" s="2"/>
      <c r="I60" s="2"/>
      <c r="J60" s="2"/>
      <c r="K60" s="2"/>
      <c r="L60" s="2"/>
      <c r="M60" s="2"/>
      <c r="N60" s="2"/>
      <c r="O60" s="2"/>
    </row>
    <row r="61" spans="1:17" x14ac:dyDescent="0.25">
      <c r="A61" s="150"/>
      <c r="B61" s="150"/>
      <c r="C61" s="150"/>
      <c r="D61" s="150"/>
      <c r="E61" s="150"/>
      <c r="F61" s="150"/>
      <c r="G61" s="2"/>
      <c r="H61" s="2"/>
      <c r="I61" s="2"/>
      <c r="J61" s="2"/>
      <c r="K61" s="2"/>
      <c r="L61" s="2"/>
      <c r="M61" s="2"/>
      <c r="N61" s="2"/>
      <c r="O61" s="2"/>
    </row>
    <row r="62" spans="1:17" x14ac:dyDescent="0.25">
      <c r="A62" s="150"/>
      <c r="B62" s="150"/>
      <c r="C62" s="150"/>
      <c r="D62" s="150"/>
      <c r="E62" s="150"/>
      <c r="F62" s="150"/>
    </row>
    <row r="63" spans="1:17" x14ac:dyDescent="0.25">
      <c r="A63" s="150"/>
      <c r="B63" s="150"/>
      <c r="C63" s="150"/>
      <c r="D63" s="150"/>
      <c r="E63" s="150"/>
      <c r="F63" s="150"/>
    </row>
    <row r="64" spans="1:17" x14ac:dyDescent="0.25">
      <c r="A64" s="150"/>
      <c r="B64" s="150"/>
      <c r="C64" s="150"/>
      <c r="D64" s="150"/>
      <c r="E64" s="150"/>
      <c r="F64" s="150"/>
    </row>
    <row r="65" spans="1:6" x14ac:dyDescent="0.25">
      <c r="A65" s="150"/>
      <c r="B65" s="150"/>
      <c r="C65" s="150"/>
      <c r="D65" s="150"/>
      <c r="E65" s="150"/>
      <c r="F65" s="150"/>
    </row>
    <row r="66" spans="1:6" x14ac:dyDescent="0.25">
      <c r="A66" s="150"/>
      <c r="B66" s="150"/>
      <c r="C66" s="150"/>
      <c r="D66" s="150"/>
      <c r="E66" s="150"/>
      <c r="F66" s="150"/>
    </row>
    <row r="67" spans="1:6" x14ac:dyDescent="0.25">
      <c r="A67" s="150"/>
      <c r="B67" s="150"/>
      <c r="C67" s="150"/>
      <c r="D67" s="150"/>
      <c r="E67" s="150"/>
      <c r="F67" s="150"/>
    </row>
    <row r="68" spans="1:6" x14ac:dyDescent="0.25">
      <c r="A68" s="150"/>
      <c r="B68" s="150"/>
      <c r="C68" s="150"/>
      <c r="D68" s="150"/>
      <c r="E68" s="150"/>
      <c r="F68" s="150"/>
    </row>
    <row r="69" spans="1:6" x14ac:dyDescent="0.25">
      <c r="A69" s="150"/>
      <c r="B69" s="150"/>
      <c r="C69" s="150"/>
      <c r="D69" s="150"/>
      <c r="E69" s="150"/>
      <c r="F69" s="150"/>
    </row>
    <row r="70" spans="1:6" x14ac:dyDescent="0.25">
      <c r="A70" s="150"/>
      <c r="B70" s="150"/>
      <c r="C70" s="150"/>
      <c r="D70" s="150"/>
      <c r="E70" s="150"/>
      <c r="F70" s="150"/>
    </row>
  </sheetData>
  <mergeCells count="31">
    <mergeCell ref="A10:B10"/>
    <mergeCell ref="A11:O11"/>
    <mergeCell ref="A20:B20"/>
    <mergeCell ref="A21:O21"/>
    <mergeCell ref="A22:B22"/>
    <mergeCell ref="A23:O23"/>
    <mergeCell ref="H32:K32"/>
    <mergeCell ref="L32:O32"/>
    <mergeCell ref="A32:A33"/>
    <mergeCell ref="B32:B33"/>
    <mergeCell ref="C32:C33"/>
    <mergeCell ref="D32:F32"/>
    <mergeCell ref="G32:G33"/>
    <mergeCell ref="A3:A4"/>
    <mergeCell ref="B3:B4"/>
    <mergeCell ref="C3:C4"/>
    <mergeCell ref="D3:F3"/>
    <mergeCell ref="G3:G4"/>
    <mergeCell ref="X14:AA14"/>
    <mergeCell ref="AB14:AE14"/>
    <mergeCell ref="C1:F1"/>
    <mergeCell ref="J1:O1"/>
    <mergeCell ref="C2:G2"/>
    <mergeCell ref="J2:O2"/>
    <mergeCell ref="Q14:Q15"/>
    <mergeCell ref="R14:R15"/>
    <mergeCell ref="S14:S15"/>
    <mergeCell ref="T14:V14"/>
    <mergeCell ref="W14:W15"/>
    <mergeCell ref="H3:K3"/>
    <mergeCell ref="L3:O3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Layout" zoomScaleNormal="110" workbookViewId="0">
      <selection activeCell="A39" sqref="A39:E63"/>
    </sheetView>
  </sheetViews>
  <sheetFormatPr defaultRowHeight="15" x14ac:dyDescent="0.25"/>
  <cols>
    <col min="1" max="1" width="9.85546875" customWidth="1"/>
    <col min="2" max="2" width="26.42578125" customWidth="1"/>
    <col min="3" max="3" width="6.85546875" customWidth="1"/>
    <col min="4" max="4" width="7.7109375" customWidth="1"/>
    <col min="5" max="5" width="7" customWidth="1"/>
    <col min="7" max="7" width="10.28515625" customWidth="1"/>
    <col min="8" max="8" width="5.7109375" customWidth="1"/>
    <col min="9" max="9" width="7.4257812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273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5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</row>
    <row r="5" spans="1:18" ht="18" customHeight="1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87</v>
      </c>
      <c r="B6" s="20" t="s">
        <v>86</v>
      </c>
      <c r="C6" s="5">
        <v>180</v>
      </c>
      <c r="D6" s="5">
        <f>C6*3.4/100</f>
        <v>6.12</v>
      </c>
      <c r="E6" s="9">
        <f>C6*4.5/100</f>
        <v>8.1</v>
      </c>
      <c r="F6" s="9">
        <f>C6*16.6/100</f>
        <v>29.880000000000006</v>
      </c>
      <c r="G6" s="9">
        <f>F6*4+E6*9+D6*4</f>
        <v>216.9</v>
      </c>
      <c r="H6" s="23">
        <f>C6*0.01/100</f>
        <v>1.8000000000000002E-2</v>
      </c>
      <c r="I6" s="23">
        <f>C6*0.18/100</f>
        <v>0.32400000000000001</v>
      </c>
      <c r="J6" s="35">
        <v>0</v>
      </c>
      <c r="K6" s="35">
        <v>0</v>
      </c>
      <c r="L6" s="23">
        <f>C6*77.1/100</f>
        <v>138.77999999999997</v>
      </c>
      <c r="M6" s="23">
        <f>C6*24.15/100</f>
        <v>43.47</v>
      </c>
      <c r="N6" s="23">
        <f>C6*21.2/100</f>
        <v>38.159999999999997</v>
      </c>
      <c r="O6" s="23">
        <f>C6*0.99/100</f>
        <v>1.7819999999999998</v>
      </c>
      <c r="P6" s="4"/>
      <c r="Q6" s="4"/>
      <c r="R6" s="2"/>
    </row>
    <row r="7" spans="1:18" x14ac:dyDescent="0.25">
      <c r="A7" s="5" t="s">
        <v>105</v>
      </c>
      <c r="B7" s="8" t="s">
        <v>104</v>
      </c>
      <c r="C7" s="5">
        <v>50</v>
      </c>
      <c r="D7" s="5">
        <v>4.7300000000000004</v>
      </c>
      <c r="E7" s="9">
        <v>6.88</v>
      </c>
      <c r="F7" s="9">
        <v>14.56</v>
      </c>
      <c r="G7" s="9">
        <f>F7*4+E7*9+D7*4</f>
        <v>139.07999999999998</v>
      </c>
      <c r="H7" s="5">
        <v>0.17</v>
      </c>
      <c r="I7" s="10">
        <v>0</v>
      </c>
      <c r="J7" s="5">
        <v>0.15</v>
      </c>
      <c r="K7" s="5">
        <v>5.45</v>
      </c>
      <c r="L7" s="9">
        <v>215.99</v>
      </c>
      <c r="M7" s="9">
        <v>217</v>
      </c>
      <c r="N7" s="5">
        <v>42.91</v>
      </c>
      <c r="O7" s="5">
        <v>1.74</v>
      </c>
      <c r="P7" s="4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85</v>
      </c>
      <c r="B9" s="8" t="s">
        <v>37</v>
      </c>
      <c r="C9" s="5">
        <v>200</v>
      </c>
      <c r="D9" s="9">
        <v>0.6</v>
      </c>
      <c r="E9" s="10">
        <v>0</v>
      </c>
      <c r="F9" s="9">
        <v>31.4</v>
      </c>
      <c r="G9" s="10">
        <f t="shared" ref="G9" si="0">F9*4+E9*9+D9*4</f>
        <v>128</v>
      </c>
      <c r="H9" s="5">
        <v>0.02</v>
      </c>
      <c r="I9" s="5">
        <v>0.73</v>
      </c>
      <c r="J9" s="10">
        <v>0</v>
      </c>
      <c r="K9" s="5">
        <v>0.51</v>
      </c>
      <c r="L9" s="5">
        <v>32.479999999999997</v>
      </c>
      <c r="M9" s="5">
        <v>23.44</v>
      </c>
      <c r="N9" s="5">
        <v>17.46</v>
      </c>
      <c r="O9" s="9">
        <v>0.7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1">SUM(D6:D9)</f>
        <v>14.450000000000001</v>
      </c>
      <c r="E10" s="15">
        <f t="shared" si="1"/>
        <v>16.14</v>
      </c>
      <c r="F10" s="16">
        <f t="shared" si="1"/>
        <v>96.4</v>
      </c>
      <c r="G10" s="15">
        <f t="shared" si="1"/>
        <v>588.66000000000008</v>
      </c>
      <c r="H10" s="16">
        <f t="shared" si="1"/>
        <v>0.252</v>
      </c>
      <c r="I10" s="16">
        <f t="shared" si="1"/>
        <v>1.054</v>
      </c>
      <c r="J10" s="15">
        <f t="shared" si="1"/>
        <v>0.15</v>
      </c>
      <c r="K10" s="15">
        <f t="shared" si="1"/>
        <v>6.64</v>
      </c>
      <c r="L10" s="15">
        <f t="shared" si="1"/>
        <v>394.85</v>
      </c>
      <c r="M10" s="15">
        <f t="shared" si="1"/>
        <v>309.91000000000003</v>
      </c>
      <c r="N10" s="15">
        <f t="shared" si="1"/>
        <v>103.72999999999999</v>
      </c>
      <c r="O10" s="16">
        <f t="shared" si="1"/>
        <v>4.702</v>
      </c>
      <c r="P10" s="6"/>
      <c r="Q10" s="4"/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/>
      <c r="B12" s="8" t="s">
        <v>88</v>
      </c>
      <c r="C12" s="5">
        <v>80</v>
      </c>
      <c r="D12" s="5">
        <f>C12*1.1/100</f>
        <v>0.88</v>
      </c>
      <c r="E12" s="9">
        <f>C12*0.2/100</f>
        <v>0.16</v>
      </c>
      <c r="F12" s="5">
        <f>C12*3.8/100</f>
        <v>3.04</v>
      </c>
      <c r="G12" s="5">
        <f t="shared" ref="G12:G18" si="2">F12*4+E12*9+D12*4</f>
        <v>17.12</v>
      </c>
      <c r="H12" s="5">
        <f>C12*0.06/100</f>
        <v>4.8000000000000001E-2</v>
      </c>
      <c r="I12" s="9">
        <f>C12*25/100</f>
        <v>20</v>
      </c>
      <c r="J12" s="10">
        <v>0</v>
      </c>
      <c r="K12" s="9">
        <f>C12*0.7/100</f>
        <v>0.56000000000000005</v>
      </c>
      <c r="L12" s="9">
        <f>C12*14/100</f>
        <v>11.2</v>
      </c>
      <c r="M12" s="9">
        <f>C12*26/100</f>
        <v>20.8</v>
      </c>
      <c r="N12" s="9">
        <f>C12*20/100</f>
        <v>16</v>
      </c>
      <c r="O12" s="9">
        <f>C12*0.9/100</f>
        <v>0.72</v>
      </c>
      <c r="P12" s="6"/>
      <c r="Q12" s="4" t="s">
        <v>20</v>
      </c>
      <c r="R12" s="2"/>
    </row>
    <row r="13" spans="1:18" x14ac:dyDescent="0.25">
      <c r="A13" s="5" t="s">
        <v>90</v>
      </c>
      <c r="B13" s="8" t="s">
        <v>89</v>
      </c>
      <c r="C13" s="5">
        <v>250</v>
      </c>
      <c r="D13" s="9">
        <f>C13*1.17/100</f>
        <v>2.9249999999999998</v>
      </c>
      <c r="E13" s="9">
        <f>C13*4.05/100</f>
        <v>10.125</v>
      </c>
      <c r="F13" s="5">
        <f>C13*6.94/100</f>
        <v>17.350000000000001</v>
      </c>
      <c r="G13" s="9">
        <f t="shared" si="2"/>
        <v>172.22499999999999</v>
      </c>
      <c r="H13" s="5">
        <v>0.09</v>
      </c>
      <c r="I13" s="9">
        <v>8.3800000000000008</v>
      </c>
      <c r="J13" s="10">
        <v>0</v>
      </c>
      <c r="K13" s="5">
        <v>2.35</v>
      </c>
      <c r="L13" s="9">
        <v>29.15</v>
      </c>
      <c r="M13" s="9">
        <v>56.73</v>
      </c>
      <c r="N13" s="9">
        <v>24.18</v>
      </c>
      <c r="O13" s="9">
        <v>0.9</v>
      </c>
      <c r="P13" s="6"/>
      <c r="Q13" s="4"/>
      <c r="R13" s="2"/>
    </row>
    <row r="14" spans="1:18" ht="25.5" x14ac:dyDescent="0.25">
      <c r="A14" s="5" t="s">
        <v>94</v>
      </c>
      <c r="B14" s="20" t="s">
        <v>297</v>
      </c>
      <c r="C14" s="5">
        <v>180</v>
      </c>
      <c r="D14" s="9">
        <f>C14*2.4/100</f>
        <v>4.32</v>
      </c>
      <c r="E14" s="9">
        <f>C14*3.5/100</f>
        <v>6.3</v>
      </c>
      <c r="F14" s="5">
        <f>C14*25.8/100</f>
        <v>46.44</v>
      </c>
      <c r="G14" s="9">
        <f t="shared" si="2"/>
        <v>259.74</v>
      </c>
      <c r="H14" s="9">
        <f>C14*0.02/100</f>
        <v>3.6000000000000004E-2</v>
      </c>
      <c r="I14" s="5">
        <f>C14*0.4/100</f>
        <v>0.72</v>
      </c>
      <c r="J14" s="5">
        <f>C14*0.1/100</f>
        <v>0.18</v>
      </c>
      <c r="K14" s="9">
        <f>C14*1.5/100</f>
        <v>2.7</v>
      </c>
      <c r="L14" s="9">
        <f>C14*14/100</f>
        <v>25.2</v>
      </c>
      <c r="M14" s="9">
        <f>C14*41/100</f>
        <v>73.8</v>
      </c>
      <c r="N14" s="9">
        <f>C14*13/100</f>
        <v>23.4</v>
      </c>
      <c r="O14" s="5">
        <f>C14*0.4/100</f>
        <v>0.72</v>
      </c>
      <c r="P14" s="6"/>
      <c r="Q14" s="4"/>
      <c r="R14" s="2"/>
    </row>
    <row r="15" spans="1:18" x14ac:dyDescent="0.25">
      <c r="A15" s="5" t="s">
        <v>96</v>
      </c>
      <c r="B15" s="8" t="s">
        <v>95</v>
      </c>
      <c r="C15" s="5">
        <v>90</v>
      </c>
      <c r="D15" s="5">
        <f>C15*12.8/100</f>
        <v>11.52</v>
      </c>
      <c r="E15" s="5">
        <f>C15*13.6/100</f>
        <v>12.24</v>
      </c>
      <c r="F15" s="9">
        <f>C15*9.9/100</f>
        <v>8.91</v>
      </c>
      <c r="G15" s="5">
        <f t="shared" si="2"/>
        <v>191.88</v>
      </c>
      <c r="H15" s="23">
        <f>C15*0.08/100</f>
        <v>7.2000000000000008E-2</v>
      </c>
      <c r="I15" s="23">
        <f>C15*0.8/100</f>
        <v>0.72</v>
      </c>
      <c r="J15" s="23">
        <f>C15*0.03/100</f>
        <v>2.6999999999999996E-2</v>
      </c>
      <c r="K15" s="23">
        <f>C15*0.2/100</f>
        <v>0.18</v>
      </c>
      <c r="L15" s="23">
        <f>C15*59/100</f>
        <v>53.1</v>
      </c>
      <c r="M15" s="23">
        <f>C15*169/100</f>
        <v>152.1</v>
      </c>
      <c r="N15" s="23">
        <f>C15*35/100</f>
        <v>31.5</v>
      </c>
      <c r="O15" s="23">
        <f>C15*1.1/100</f>
        <v>0.9900000000000001</v>
      </c>
      <c r="P15" s="6"/>
      <c r="Q15" s="4"/>
      <c r="R15" s="2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2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2"/>
        <v>118</v>
      </c>
      <c r="H17" s="5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2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 t="s">
        <v>127</v>
      </c>
      <c r="B19" s="8" t="s">
        <v>75</v>
      </c>
      <c r="C19" s="5">
        <v>200</v>
      </c>
      <c r="D19" s="9">
        <v>0.2</v>
      </c>
      <c r="E19" s="10">
        <v>0</v>
      </c>
      <c r="F19" s="9">
        <v>14</v>
      </c>
      <c r="G19" s="9">
        <f>F19*4+E19*9+D19*4</f>
        <v>56.8</v>
      </c>
      <c r="H19" s="10">
        <v>0</v>
      </c>
      <c r="I19" s="10">
        <v>0</v>
      </c>
      <c r="J19" s="10">
        <v>0</v>
      </c>
      <c r="K19" s="10">
        <v>0</v>
      </c>
      <c r="L19" s="9">
        <v>12</v>
      </c>
      <c r="M19" s="9">
        <v>4</v>
      </c>
      <c r="N19" s="9">
        <v>6</v>
      </c>
      <c r="O19" s="9">
        <v>0.8</v>
      </c>
      <c r="P19" s="6"/>
      <c r="Q19" s="4"/>
      <c r="R19" s="2"/>
    </row>
    <row r="20" spans="1:18" x14ac:dyDescent="0.25">
      <c r="A20" s="5"/>
      <c r="B20" s="8" t="s">
        <v>100</v>
      </c>
      <c r="C20" s="5">
        <v>100</v>
      </c>
      <c r="D20" s="9">
        <v>0.4</v>
      </c>
      <c r="E20" s="9">
        <v>0.3</v>
      </c>
      <c r="F20" s="9">
        <v>10.3</v>
      </c>
      <c r="G20" s="9">
        <f t="shared" ref="G20" si="3">F20*4+E20*9+D20*4</f>
        <v>45.500000000000007</v>
      </c>
      <c r="H20" s="5">
        <v>0.02</v>
      </c>
      <c r="I20" s="9">
        <v>5</v>
      </c>
      <c r="J20" s="10">
        <v>0</v>
      </c>
      <c r="K20" s="9">
        <v>0.4</v>
      </c>
      <c r="L20" s="9">
        <v>19</v>
      </c>
      <c r="M20" s="9">
        <v>16</v>
      </c>
      <c r="N20" s="9">
        <v>12</v>
      </c>
      <c r="O20" s="9">
        <v>2.2999999999999998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6">
        <f t="shared" ref="D21:O21" si="4">SUM(D12:D20)</f>
        <v>27.515000000000001</v>
      </c>
      <c r="E21" s="16">
        <f t="shared" si="4"/>
        <v>32.844999999999999</v>
      </c>
      <c r="F21" s="16">
        <f t="shared" si="4"/>
        <v>145.17000000000002</v>
      </c>
      <c r="G21" s="16">
        <f t="shared" si="4"/>
        <v>986.34500000000003</v>
      </c>
      <c r="H21" s="16">
        <f t="shared" si="4"/>
        <v>0.39300000000000007</v>
      </c>
      <c r="I21" s="16">
        <f t="shared" si="4"/>
        <v>35.21</v>
      </c>
      <c r="J21" s="16">
        <f t="shared" si="4"/>
        <v>0.20699999999999999</v>
      </c>
      <c r="K21" s="16">
        <f t="shared" si="4"/>
        <v>7.3000000000000007</v>
      </c>
      <c r="L21" s="16">
        <f t="shared" si="4"/>
        <v>173.66000000000003</v>
      </c>
      <c r="M21" s="16">
        <f t="shared" si="4"/>
        <v>419.12999999999994</v>
      </c>
      <c r="N21" s="16">
        <f t="shared" si="4"/>
        <v>156.38</v>
      </c>
      <c r="O21" s="16">
        <f t="shared" si="4"/>
        <v>8.64</v>
      </c>
      <c r="P21" s="6"/>
      <c r="Q21" s="4"/>
      <c r="R21" s="2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5">D10+D21</f>
        <v>41.965000000000003</v>
      </c>
      <c r="E23" s="16">
        <f t="shared" si="5"/>
        <v>48.984999999999999</v>
      </c>
      <c r="F23" s="16">
        <f t="shared" si="5"/>
        <v>241.57000000000002</v>
      </c>
      <c r="G23" s="16">
        <f t="shared" si="5"/>
        <v>1575.0050000000001</v>
      </c>
      <c r="H23" s="16">
        <f t="shared" si="5"/>
        <v>0.64500000000000002</v>
      </c>
      <c r="I23" s="16">
        <f t="shared" si="5"/>
        <v>36.264000000000003</v>
      </c>
      <c r="J23" s="16">
        <f t="shared" si="5"/>
        <v>0.35699999999999998</v>
      </c>
      <c r="K23" s="15">
        <f t="shared" si="5"/>
        <v>13.940000000000001</v>
      </c>
      <c r="L23" s="15">
        <f t="shared" si="5"/>
        <v>568.51</v>
      </c>
      <c r="M23" s="15">
        <f t="shared" si="5"/>
        <v>729.04</v>
      </c>
      <c r="N23" s="16">
        <f t="shared" si="5"/>
        <v>260.11</v>
      </c>
      <c r="O23" s="16">
        <f t="shared" si="5"/>
        <v>13.342000000000001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105</v>
      </c>
      <c r="B25" s="8" t="s">
        <v>104</v>
      </c>
      <c r="C25" s="5">
        <v>50</v>
      </c>
      <c r="D25" s="5">
        <v>4.7300000000000004</v>
      </c>
      <c r="E25" s="9">
        <v>6.88</v>
      </c>
      <c r="F25" s="9">
        <v>14.56</v>
      </c>
      <c r="G25" s="9">
        <f>F25*4+E25*9+D25*4</f>
        <v>139.07999999999998</v>
      </c>
      <c r="H25" s="5">
        <v>0.17</v>
      </c>
      <c r="I25" s="10">
        <v>0</v>
      </c>
      <c r="J25" s="5">
        <v>0.15</v>
      </c>
      <c r="K25" s="5">
        <v>5.45</v>
      </c>
      <c r="L25" s="9">
        <v>215.99</v>
      </c>
      <c r="M25" s="9">
        <v>217</v>
      </c>
      <c r="N25" s="5">
        <v>42.91</v>
      </c>
      <c r="O25" s="5">
        <v>1.74</v>
      </c>
      <c r="P25" s="6"/>
      <c r="Q25" s="4"/>
      <c r="R25" s="2"/>
    </row>
    <row r="26" spans="1:18" ht="25.5" x14ac:dyDescent="0.25">
      <c r="A26" s="5" t="s">
        <v>103</v>
      </c>
      <c r="B26" s="20" t="s">
        <v>102</v>
      </c>
      <c r="C26" s="5">
        <v>200</v>
      </c>
      <c r="D26" s="10">
        <v>0</v>
      </c>
      <c r="E26" s="10">
        <v>0</v>
      </c>
      <c r="F26" s="9">
        <v>38.4</v>
      </c>
      <c r="G26" s="9">
        <f>F26*4+E26*9+D26*4</f>
        <v>153.6</v>
      </c>
      <c r="H26" s="10">
        <v>0</v>
      </c>
      <c r="I26" s="10">
        <v>0</v>
      </c>
      <c r="J26" s="10">
        <v>0</v>
      </c>
      <c r="K26" s="10">
        <v>0</v>
      </c>
      <c r="L26" s="9">
        <f>C26*4.65/100</f>
        <v>9.3000000000000007</v>
      </c>
      <c r="M26" s="9">
        <f>C26*4.42/100</f>
        <v>8.84</v>
      </c>
      <c r="N26" s="10">
        <v>0</v>
      </c>
      <c r="O26" s="9">
        <f>C26*0.03/100</f>
        <v>0.06</v>
      </c>
      <c r="P26" s="6"/>
      <c r="Q26" s="4"/>
      <c r="R26" s="2"/>
    </row>
    <row r="27" spans="1:18" x14ac:dyDescent="0.25">
      <c r="A27" s="125"/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56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56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56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56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56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56"/>
    </row>
    <row r="37" spans="1:18" x14ac:dyDescent="0.25">
      <c r="A37" s="6"/>
      <c r="B37" s="1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56"/>
    </row>
    <row r="38" spans="1:18" x14ac:dyDescent="0.25">
      <c r="A38" s="6"/>
      <c r="B38" s="1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78"/>
      <c r="C39" s="60"/>
      <c r="D39" s="60"/>
      <c r="E39" s="6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 t="s">
        <v>20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6"/>
      <c r="B50" s="15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4"/>
      <c r="R50" s="2"/>
    </row>
    <row r="51" spans="1:18" x14ac:dyDescent="0.25">
      <c r="A51" s="6"/>
      <c r="B51" s="150"/>
      <c r="C51" s="149"/>
      <c r="D51" s="149"/>
      <c r="E51" s="14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4"/>
      <c r="R51" s="2"/>
    </row>
    <row r="52" spans="1:18" x14ac:dyDescent="0.25">
      <c r="A52" s="149"/>
      <c r="B52" s="150"/>
      <c r="C52" s="150"/>
      <c r="D52" s="150"/>
      <c r="E52" s="150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2"/>
      <c r="R52" s="2"/>
    </row>
    <row r="53" spans="1:18" x14ac:dyDescent="0.25">
      <c r="A53" s="150"/>
      <c r="B53" s="150"/>
      <c r="C53" s="150"/>
      <c r="D53" s="150"/>
      <c r="E53" s="150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8" x14ac:dyDescent="0.25">
      <c r="A55" s="150"/>
      <c r="B55" s="150"/>
      <c r="C55" s="150"/>
      <c r="D55" s="150"/>
      <c r="E55" s="150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8" x14ac:dyDescent="0.25">
      <c r="A56" s="150"/>
      <c r="B56" s="150"/>
      <c r="C56" s="150"/>
      <c r="D56" s="150"/>
      <c r="E56" s="150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8" x14ac:dyDescent="0.25">
      <c r="A57" s="150"/>
      <c r="B57" s="150"/>
      <c r="C57" s="150"/>
      <c r="D57" s="150"/>
      <c r="E57" s="150"/>
    </row>
    <row r="58" spans="1:18" x14ac:dyDescent="0.25">
      <c r="A58" s="150"/>
      <c r="B58" s="150"/>
      <c r="C58" s="150"/>
      <c r="D58" s="150"/>
      <c r="E58" s="150"/>
    </row>
    <row r="59" spans="1:18" x14ac:dyDescent="0.25">
      <c r="A59" s="150"/>
      <c r="B59" s="150"/>
      <c r="C59" s="150"/>
      <c r="D59" s="150"/>
      <c r="E59" s="150"/>
    </row>
    <row r="60" spans="1:18" x14ac:dyDescent="0.25">
      <c r="A60" s="150"/>
      <c r="B60" s="150"/>
      <c r="C60" s="150"/>
      <c r="D60" s="150"/>
      <c r="E60" s="150"/>
    </row>
    <row r="61" spans="1:18" x14ac:dyDescent="0.25">
      <c r="A61" s="150"/>
      <c r="B61" s="150"/>
      <c r="C61" s="150"/>
      <c r="D61" s="150"/>
      <c r="E61" s="150"/>
    </row>
    <row r="62" spans="1:18" x14ac:dyDescent="0.25">
      <c r="A62" s="150"/>
      <c r="B62" s="150"/>
      <c r="C62" s="150"/>
      <c r="D62" s="150"/>
      <c r="E62" s="150"/>
    </row>
    <row r="63" spans="1:18" x14ac:dyDescent="0.25">
      <c r="A63" s="150"/>
      <c r="B63" s="150"/>
      <c r="C63" s="150"/>
      <c r="D63" s="150"/>
      <c r="E63" s="150"/>
    </row>
  </sheetData>
  <mergeCells count="17">
    <mergeCell ref="A10:B10"/>
    <mergeCell ref="C1:F1"/>
    <mergeCell ref="J1:O1"/>
    <mergeCell ref="C2:G2"/>
    <mergeCell ref="J2:O2"/>
    <mergeCell ref="A3:A4"/>
    <mergeCell ref="B3:B4"/>
    <mergeCell ref="C3:C4"/>
    <mergeCell ref="D3:F3"/>
    <mergeCell ref="G3:G4"/>
    <mergeCell ref="H3:K3"/>
    <mergeCell ref="L3:O3"/>
    <mergeCell ref="A11:O11"/>
    <mergeCell ref="A21:B21"/>
    <mergeCell ref="A22:O22"/>
    <mergeCell ref="A23:B23"/>
    <mergeCell ref="A24:O24"/>
  </mergeCells>
  <pageMargins left="0.44791666666666669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view="pageLayout" zoomScaleNormal="110" workbookViewId="0">
      <selection activeCell="A37" sqref="A37:F63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85546875" customWidth="1"/>
    <col min="8" max="8" width="5.7109375" customWidth="1"/>
    <col min="9" max="9" width="7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274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ht="15.75" customHeight="1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25.5" x14ac:dyDescent="0.25">
      <c r="A6" s="5" t="s">
        <v>144</v>
      </c>
      <c r="B6" s="20" t="s">
        <v>143</v>
      </c>
      <c r="C6" s="5">
        <v>180</v>
      </c>
      <c r="D6" s="5">
        <f>C6*3.1/100</f>
        <v>5.58</v>
      </c>
      <c r="E6" s="5">
        <f>C6*4.8/100</f>
        <v>8.64</v>
      </c>
      <c r="F6" s="9">
        <f>C6*13.3/100</f>
        <v>23.94</v>
      </c>
      <c r="G6" s="5">
        <f>F6*4+E6*9+D6*4</f>
        <v>195.84</v>
      </c>
      <c r="H6" s="23">
        <f>C6*0.07/100</f>
        <v>0.126</v>
      </c>
      <c r="I6" s="35">
        <v>0</v>
      </c>
      <c r="J6" s="35">
        <v>0</v>
      </c>
      <c r="K6" s="22">
        <f>C6*1.1/100</f>
        <v>1.9800000000000002</v>
      </c>
      <c r="L6" s="23">
        <f>C6*19/100</f>
        <v>34.200000000000003</v>
      </c>
      <c r="M6" s="23">
        <f>C6*70/100</f>
        <v>126</v>
      </c>
      <c r="N6" s="23">
        <f>C6*29/100</f>
        <v>52.2</v>
      </c>
      <c r="O6" s="23">
        <f>C6*0.8/100</f>
        <v>1.44</v>
      </c>
      <c r="P6" s="6"/>
      <c r="Q6" s="4"/>
      <c r="R6" s="2"/>
    </row>
    <row r="7" spans="1:18" ht="25.5" x14ac:dyDescent="0.25">
      <c r="A7" s="5" t="s">
        <v>259</v>
      </c>
      <c r="B7" s="20" t="s">
        <v>258</v>
      </c>
      <c r="C7" s="5">
        <v>55</v>
      </c>
      <c r="D7" s="5">
        <v>2.4900000000000002</v>
      </c>
      <c r="E7" s="9">
        <v>3.93</v>
      </c>
      <c r="F7" s="9">
        <v>27.56</v>
      </c>
      <c r="G7" s="9">
        <f>F7*4+E7*9+D7*4</f>
        <v>155.57000000000002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5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85</v>
      </c>
      <c r="B9" s="8" t="s">
        <v>37</v>
      </c>
      <c r="C9" s="5">
        <v>200</v>
      </c>
      <c r="D9" s="9">
        <v>0.6</v>
      </c>
      <c r="E9" s="10">
        <v>0</v>
      </c>
      <c r="F9" s="9">
        <v>31.4</v>
      </c>
      <c r="G9" s="9">
        <f t="shared" ref="G9" si="0">F9*4+E9*9+D9*4</f>
        <v>128</v>
      </c>
      <c r="H9" s="5">
        <v>0.02</v>
      </c>
      <c r="I9" s="5">
        <v>0.73</v>
      </c>
      <c r="J9" s="10">
        <v>0</v>
      </c>
      <c r="K9" s="5">
        <v>0.51</v>
      </c>
      <c r="L9" s="5">
        <v>32.479999999999997</v>
      </c>
      <c r="M9" s="5">
        <v>23.44</v>
      </c>
      <c r="N9" s="5">
        <v>17.46</v>
      </c>
      <c r="O9" s="9">
        <v>0.7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1">SUM(D6:D9)</f>
        <v>11.67</v>
      </c>
      <c r="E10" s="15">
        <f t="shared" si="1"/>
        <v>13.73</v>
      </c>
      <c r="F10" s="16">
        <f t="shared" si="1"/>
        <v>103.46000000000001</v>
      </c>
      <c r="G10" s="16">
        <f t="shared" si="1"/>
        <v>584.09</v>
      </c>
      <c r="H10" s="15">
        <f t="shared" si="1"/>
        <v>0.19</v>
      </c>
      <c r="I10" s="15">
        <f t="shared" si="1"/>
        <v>0.73</v>
      </c>
      <c r="J10" s="15">
        <f t="shared" si="1"/>
        <v>0</v>
      </c>
      <c r="K10" s="15">
        <f t="shared" si="1"/>
        <v>3.17</v>
      </c>
      <c r="L10" s="15">
        <f t="shared" si="1"/>
        <v>74.28</v>
      </c>
      <c r="M10" s="15">
        <f t="shared" si="1"/>
        <v>175.44</v>
      </c>
      <c r="N10" s="15">
        <f t="shared" si="1"/>
        <v>74.860000000000014</v>
      </c>
      <c r="O10" s="15">
        <f t="shared" si="1"/>
        <v>2.62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ht="25.5" x14ac:dyDescent="0.25">
      <c r="A12" s="5" t="s">
        <v>161</v>
      </c>
      <c r="B12" s="20" t="s">
        <v>160</v>
      </c>
      <c r="C12" s="5">
        <v>100</v>
      </c>
      <c r="D12" s="9">
        <v>5.0999999999999996</v>
      </c>
      <c r="E12" s="9">
        <f>C12*7.8/100</f>
        <v>7.8</v>
      </c>
      <c r="F12" s="9">
        <v>7.1</v>
      </c>
      <c r="G12" s="10">
        <f t="shared" ref="G12:G19" si="2">F12*4+E12*9+D12*4</f>
        <v>119</v>
      </c>
      <c r="H12" s="5">
        <v>0.03</v>
      </c>
      <c r="I12" s="9">
        <v>6.6</v>
      </c>
      <c r="J12" s="9">
        <v>0.04</v>
      </c>
      <c r="K12" s="9">
        <v>4.5999999999999996</v>
      </c>
      <c r="L12" s="9">
        <v>187</v>
      </c>
      <c r="M12" s="9">
        <v>154</v>
      </c>
      <c r="N12" s="9">
        <v>28</v>
      </c>
      <c r="O12" s="9">
        <v>1.5</v>
      </c>
      <c r="P12" s="6"/>
      <c r="Q12" s="4"/>
      <c r="R12" s="2"/>
    </row>
    <row r="13" spans="1:18" ht="25.5" x14ac:dyDescent="0.25">
      <c r="A13" s="5" t="s">
        <v>147</v>
      </c>
      <c r="B13" s="20" t="s">
        <v>146</v>
      </c>
      <c r="C13" s="5">
        <v>250</v>
      </c>
      <c r="D13" s="9">
        <v>2.9</v>
      </c>
      <c r="E13" s="9">
        <v>2.5</v>
      </c>
      <c r="F13" s="9">
        <v>21</v>
      </c>
      <c r="G13" s="9">
        <f t="shared" si="2"/>
        <v>118.1</v>
      </c>
      <c r="H13" s="10">
        <v>0</v>
      </c>
      <c r="I13" s="9">
        <f>C13*0.74/100</f>
        <v>1.85</v>
      </c>
      <c r="J13" s="5">
        <f>C13*0.46/100</f>
        <v>1.1499999999999999</v>
      </c>
      <c r="K13" s="9">
        <f>C13*0.04/100</f>
        <v>0.1</v>
      </c>
      <c r="L13" s="9">
        <f>C13*33/100</f>
        <v>82.5</v>
      </c>
      <c r="M13" s="9">
        <f>C13*5.65/100</f>
        <v>14.125</v>
      </c>
      <c r="N13" s="9">
        <f>C13*2.86/100</f>
        <v>7.15</v>
      </c>
      <c r="O13" s="9">
        <f>C13*0.31/100</f>
        <v>0.77500000000000002</v>
      </c>
      <c r="P13" s="6"/>
      <c r="Q13" s="4"/>
      <c r="R13" s="2"/>
    </row>
    <row r="14" spans="1:18" x14ac:dyDescent="0.25">
      <c r="A14" s="5" t="s">
        <v>218</v>
      </c>
      <c r="B14" s="20" t="s">
        <v>216</v>
      </c>
      <c r="C14" s="5">
        <v>180</v>
      </c>
      <c r="D14" s="9">
        <f>C14*2/100</f>
        <v>3.6</v>
      </c>
      <c r="E14" s="5">
        <f>C14*3.3/100</f>
        <v>5.94</v>
      </c>
      <c r="F14" s="5">
        <f>C14*9.2/100</f>
        <v>16.559999999999999</v>
      </c>
      <c r="G14" s="9">
        <f t="shared" si="2"/>
        <v>134.1</v>
      </c>
      <c r="H14" s="5">
        <f>C14*0.03/100</f>
        <v>5.3999999999999992E-2</v>
      </c>
      <c r="I14" s="5">
        <f>C14*17/100</f>
        <v>30.6</v>
      </c>
      <c r="J14" s="10">
        <v>0</v>
      </c>
      <c r="K14" s="9">
        <f>C14*1/100</f>
        <v>1.8</v>
      </c>
      <c r="L14" s="9">
        <f>C14*58/100</f>
        <v>104.4</v>
      </c>
      <c r="M14" s="9">
        <f>C14*40/100</f>
        <v>72</v>
      </c>
      <c r="N14" s="9">
        <f>C14*20/100</f>
        <v>36</v>
      </c>
      <c r="O14" s="5">
        <f>C14*0.8/100</f>
        <v>1.44</v>
      </c>
      <c r="P14" s="6"/>
      <c r="Q14" s="4"/>
      <c r="R14" s="2"/>
    </row>
    <row r="15" spans="1:18" x14ac:dyDescent="0.25">
      <c r="A15" s="5" t="s">
        <v>238</v>
      </c>
      <c r="B15" s="8" t="s">
        <v>237</v>
      </c>
      <c r="C15" s="5">
        <v>90</v>
      </c>
      <c r="D15" s="5">
        <f>C15*22.6/100</f>
        <v>20.340000000000003</v>
      </c>
      <c r="E15" s="5">
        <f>C15*17/100</f>
        <v>15.3</v>
      </c>
      <c r="F15" s="10">
        <v>0</v>
      </c>
      <c r="G15" s="5">
        <f t="shared" si="2"/>
        <v>219.06000000000003</v>
      </c>
      <c r="H15" s="23">
        <f>C15*0.04/100</f>
        <v>3.6000000000000004E-2</v>
      </c>
      <c r="I15" s="23">
        <v>0</v>
      </c>
      <c r="J15" s="23">
        <f>C15*0.02/100</f>
        <v>1.8000000000000002E-2</v>
      </c>
      <c r="K15" s="23">
        <f>C15*0.3/100</f>
        <v>0.27</v>
      </c>
      <c r="L15" s="23">
        <f>C15*39/100</f>
        <v>35.1</v>
      </c>
      <c r="M15" s="23">
        <f>C15*143/100</f>
        <v>128.69999999999999</v>
      </c>
      <c r="N15" s="23">
        <f>C15*20/100</f>
        <v>18</v>
      </c>
      <c r="O15" s="23">
        <f>C15*1.8/100</f>
        <v>1.62</v>
      </c>
      <c r="P15" s="6"/>
      <c r="Q15" s="4"/>
      <c r="R15" s="2"/>
    </row>
    <row r="16" spans="1:18" x14ac:dyDescent="0.25">
      <c r="A16" s="5"/>
      <c r="B16" s="8" t="s">
        <v>19</v>
      </c>
      <c r="C16" s="5">
        <v>50</v>
      </c>
      <c r="D16" s="5">
        <f>C16*7.7/100</f>
        <v>3.85</v>
      </c>
      <c r="E16" s="9">
        <f>C16*0.8/100</f>
        <v>0.4</v>
      </c>
      <c r="F16" s="5">
        <f>C16*49.5/100</f>
        <v>24.75</v>
      </c>
      <c r="G16" s="9">
        <f t="shared" si="2"/>
        <v>118</v>
      </c>
      <c r="H16" s="9">
        <f>C16*0.11/100</f>
        <v>5.5E-2</v>
      </c>
      <c r="I16" s="10">
        <v>0</v>
      </c>
      <c r="J16" s="10">
        <v>0</v>
      </c>
      <c r="K16" s="5">
        <f>C16*1.1/100</f>
        <v>0.55000000000000004</v>
      </c>
      <c r="L16" s="9">
        <f>C16*20/100</f>
        <v>10</v>
      </c>
      <c r="M16" s="9">
        <f>C16*65/100</f>
        <v>32.5</v>
      </c>
      <c r="N16" s="9">
        <f>C16*49/100</f>
        <v>24.5</v>
      </c>
      <c r="O16" s="5">
        <f>C16*1.1/100</f>
        <v>0.55000000000000004</v>
      </c>
      <c r="P16" s="6"/>
      <c r="Q16" s="4"/>
      <c r="R16" s="2"/>
    </row>
    <row r="17" spans="1:18" x14ac:dyDescent="0.25">
      <c r="A17" s="5"/>
      <c r="B17" s="8" t="s">
        <v>36</v>
      </c>
      <c r="C17" s="5">
        <v>40</v>
      </c>
      <c r="D17" s="5">
        <f>C17*6.6/100</f>
        <v>2.64</v>
      </c>
      <c r="E17" s="5">
        <f>C17*1.1/100</f>
        <v>0.44</v>
      </c>
      <c r="F17" s="5">
        <f>C17*43.9/100</f>
        <v>17.559999999999999</v>
      </c>
      <c r="G17" s="5">
        <f t="shared" si="2"/>
        <v>84.759999999999991</v>
      </c>
      <c r="H17" s="9">
        <f>C17*0.18/100</f>
        <v>7.1999999999999995E-2</v>
      </c>
      <c r="I17" s="10">
        <v>0</v>
      </c>
      <c r="J17" s="10">
        <v>0</v>
      </c>
      <c r="K17" s="5">
        <f>C17*1.4/100</f>
        <v>0.56000000000000005</v>
      </c>
      <c r="L17" s="9">
        <f>C17*35/100</f>
        <v>14</v>
      </c>
      <c r="M17" s="9">
        <f>C17*158/100</f>
        <v>63.2</v>
      </c>
      <c r="N17" s="9">
        <f>C17*47/100</f>
        <v>18.8</v>
      </c>
      <c r="O17" s="5">
        <f>C17*3.9/100</f>
        <v>1.56</v>
      </c>
      <c r="P17" s="6"/>
      <c r="Q17" s="4"/>
      <c r="R17" s="2"/>
    </row>
    <row r="18" spans="1:18" x14ac:dyDescent="0.25">
      <c r="A18" s="5" t="s">
        <v>72</v>
      </c>
      <c r="B18" s="40" t="s">
        <v>71</v>
      </c>
      <c r="C18" s="22">
        <v>200</v>
      </c>
      <c r="D18" s="23">
        <v>0.3</v>
      </c>
      <c r="E18" s="35">
        <v>0</v>
      </c>
      <c r="F18" s="23">
        <v>15.2</v>
      </c>
      <c r="G18" s="23">
        <f t="shared" si="2"/>
        <v>62</v>
      </c>
      <c r="H18" s="35">
        <v>0</v>
      </c>
      <c r="I18" s="23">
        <v>2.2000000000000002</v>
      </c>
      <c r="J18" s="35">
        <v>0</v>
      </c>
      <c r="K18" s="35">
        <v>0</v>
      </c>
      <c r="L18" s="23">
        <v>16</v>
      </c>
      <c r="M18" s="23">
        <v>8</v>
      </c>
      <c r="N18" s="23">
        <v>6</v>
      </c>
      <c r="O18" s="23">
        <v>0.8</v>
      </c>
      <c r="P18" s="6"/>
      <c r="Q18" s="4"/>
      <c r="R18" s="2"/>
    </row>
    <row r="19" spans="1:18" x14ac:dyDescent="0.25">
      <c r="A19" s="5"/>
      <c r="B19" s="8" t="s">
        <v>38</v>
      </c>
      <c r="C19" s="5">
        <v>100</v>
      </c>
      <c r="D19" s="9">
        <v>0.4</v>
      </c>
      <c r="E19" s="9">
        <v>0.4</v>
      </c>
      <c r="F19" s="9">
        <v>9.8000000000000007</v>
      </c>
      <c r="G19" s="9">
        <f t="shared" si="2"/>
        <v>44.400000000000006</v>
      </c>
      <c r="H19" s="5">
        <v>0.03</v>
      </c>
      <c r="I19" s="9">
        <v>10</v>
      </c>
      <c r="J19" s="10">
        <v>0</v>
      </c>
      <c r="K19" s="9">
        <v>0.2</v>
      </c>
      <c r="L19" s="9">
        <v>16</v>
      </c>
      <c r="M19" s="9">
        <v>11</v>
      </c>
      <c r="N19" s="9">
        <v>9</v>
      </c>
      <c r="O19" s="9">
        <v>2.2000000000000002</v>
      </c>
      <c r="P19" s="6"/>
      <c r="Q19" s="4"/>
      <c r="R19" s="2"/>
    </row>
    <row r="20" spans="1:18" x14ac:dyDescent="0.25">
      <c r="A20" s="205" t="s">
        <v>59</v>
      </c>
      <c r="B20" s="207"/>
      <c r="C20" s="5"/>
      <c r="D20" s="15">
        <f t="shared" ref="D20:O20" si="3">SUM(D12:D19)</f>
        <v>39.130000000000003</v>
      </c>
      <c r="E20" s="15">
        <f t="shared" si="3"/>
        <v>32.78</v>
      </c>
      <c r="F20" s="15">
        <f t="shared" si="3"/>
        <v>111.97</v>
      </c>
      <c r="G20" s="15">
        <f t="shared" si="3"/>
        <v>899.42</v>
      </c>
      <c r="H20" s="16">
        <f t="shared" si="3"/>
        <v>0.27700000000000002</v>
      </c>
      <c r="I20" s="16">
        <f t="shared" si="3"/>
        <v>51.25</v>
      </c>
      <c r="J20" s="16">
        <f t="shared" si="3"/>
        <v>1.208</v>
      </c>
      <c r="K20" s="16">
        <f t="shared" si="3"/>
        <v>8.0799999999999983</v>
      </c>
      <c r="L20" s="16">
        <f t="shared" si="3"/>
        <v>465</v>
      </c>
      <c r="M20" s="16">
        <f t="shared" si="3"/>
        <v>483.52499999999998</v>
      </c>
      <c r="N20" s="16">
        <f t="shared" si="3"/>
        <v>147.45000000000002</v>
      </c>
      <c r="O20" s="16">
        <f t="shared" si="3"/>
        <v>10.445</v>
      </c>
      <c r="P20" s="6"/>
      <c r="Q20" s="4"/>
      <c r="R20" s="2"/>
    </row>
    <row r="21" spans="1:18" x14ac:dyDescent="0.25">
      <c r="A21" s="208"/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6"/>
      <c r="Q21" s="4"/>
      <c r="R21" s="2"/>
    </row>
    <row r="22" spans="1:18" x14ac:dyDescent="0.25">
      <c r="A22" s="205" t="s">
        <v>57</v>
      </c>
      <c r="B22" s="207"/>
      <c r="C22" s="5"/>
      <c r="D22" s="16">
        <f t="shared" ref="D22:O22" si="4">D10+D20</f>
        <v>50.800000000000004</v>
      </c>
      <c r="E22" s="15">
        <f t="shared" si="4"/>
        <v>46.510000000000005</v>
      </c>
      <c r="F22" s="16">
        <f t="shared" si="4"/>
        <v>215.43</v>
      </c>
      <c r="G22" s="16">
        <f t="shared" si="4"/>
        <v>1483.51</v>
      </c>
      <c r="H22" s="16">
        <f t="shared" si="4"/>
        <v>0.46700000000000003</v>
      </c>
      <c r="I22" s="16">
        <f t="shared" si="4"/>
        <v>51.98</v>
      </c>
      <c r="J22" s="16">
        <f t="shared" si="4"/>
        <v>1.208</v>
      </c>
      <c r="K22" s="15">
        <f t="shared" si="4"/>
        <v>11.249999999999998</v>
      </c>
      <c r="L22" s="16">
        <f t="shared" si="4"/>
        <v>539.28</v>
      </c>
      <c r="M22" s="16">
        <f t="shared" si="4"/>
        <v>658.96499999999992</v>
      </c>
      <c r="N22" s="15">
        <f t="shared" si="4"/>
        <v>222.31000000000003</v>
      </c>
      <c r="O22" s="16">
        <f t="shared" si="4"/>
        <v>13.065000000000001</v>
      </c>
      <c r="P22" s="6"/>
      <c r="Q22" s="4"/>
      <c r="R22" s="2"/>
    </row>
    <row r="23" spans="1:18" x14ac:dyDescent="0.25">
      <c r="A23" s="205" t="s">
        <v>39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7"/>
      <c r="P23" s="6"/>
      <c r="Q23" s="4"/>
      <c r="R23" s="2"/>
    </row>
    <row r="24" spans="1:18" x14ac:dyDescent="0.25">
      <c r="A24" s="5" t="s">
        <v>152</v>
      </c>
      <c r="B24" s="8" t="s">
        <v>150</v>
      </c>
      <c r="C24" s="5">
        <v>40</v>
      </c>
      <c r="D24" s="9">
        <v>5.0999999999999996</v>
      </c>
      <c r="E24" s="9">
        <v>4.5999999999999996</v>
      </c>
      <c r="F24" s="9">
        <v>0.3</v>
      </c>
      <c r="G24" s="9">
        <f>F24*4+E24*9+D24*4</f>
        <v>63</v>
      </c>
      <c r="H24" s="5">
        <v>0.03</v>
      </c>
      <c r="I24" s="10">
        <v>0</v>
      </c>
      <c r="J24" s="9">
        <v>0.1</v>
      </c>
      <c r="K24" s="9">
        <v>0.2</v>
      </c>
      <c r="L24" s="9">
        <v>22</v>
      </c>
      <c r="M24" s="9">
        <v>77</v>
      </c>
      <c r="N24" s="9">
        <v>5</v>
      </c>
      <c r="O24" s="9">
        <v>1</v>
      </c>
      <c r="P24" s="6"/>
      <c r="Q24" s="4"/>
      <c r="R24" s="2"/>
    </row>
    <row r="25" spans="1:18" x14ac:dyDescent="0.25">
      <c r="A25" s="5"/>
      <c r="B25" s="8" t="s">
        <v>75</v>
      </c>
      <c r="C25" s="5">
        <v>200</v>
      </c>
      <c r="D25" s="9">
        <v>0.2</v>
      </c>
      <c r="E25" s="10">
        <v>0</v>
      </c>
      <c r="F25" s="9">
        <v>14</v>
      </c>
      <c r="G25" s="9">
        <f>F25*4+E25*9+D25*4</f>
        <v>56.8</v>
      </c>
      <c r="H25" s="10">
        <v>0</v>
      </c>
      <c r="I25" s="10">
        <v>0</v>
      </c>
      <c r="J25" s="10">
        <v>0</v>
      </c>
      <c r="K25" s="10">
        <v>0</v>
      </c>
      <c r="L25" s="9">
        <v>12</v>
      </c>
      <c r="M25" s="9">
        <v>4</v>
      </c>
      <c r="N25" s="9">
        <v>6</v>
      </c>
      <c r="O25" s="9">
        <v>0.4</v>
      </c>
      <c r="P25" s="6"/>
      <c r="Q25" s="4"/>
      <c r="R25" s="2"/>
    </row>
    <row r="26" spans="1:18" x14ac:dyDescent="0.25">
      <c r="A26" s="5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  <c r="Q26" s="4"/>
      <c r="R26" s="2"/>
    </row>
    <row r="27" spans="1:18" x14ac:dyDescent="0.25">
      <c r="A27" s="6"/>
      <c r="B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4"/>
      <c r="R27" s="2"/>
    </row>
    <row r="28" spans="1:18" x14ac:dyDescent="0.25">
      <c r="A28" s="6"/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11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11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11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6"/>
      <c r="B37" s="78"/>
      <c r="C37" s="60"/>
      <c r="D37" s="60"/>
      <c r="E37" s="6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15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6"/>
      <c r="B49" s="150"/>
      <c r="C49" s="149"/>
      <c r="D49" s="149"/>
      <c r="E49" s="14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4"/>
      <c r="R49" s="2"/>
    </row>
    <row r="50" spans="1:18" x14ac:dyDescent="0.25">
      <c r="A50" s="149"/>
      <c r="B50" s="150"/>
      <c r="C50" s="150"/>
      <c r="D50" s="150"/>
      <c r="E50" s="150"/>
      <c r="F50" s="149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"/>
      <c r="R50" s="2"/>
    </row>
    <row r="51" spans="1:18" x14ac:dyDescent="0.25">
      <c r="A51" s="150"/>
      <c r="B51" s="150"/>
      <c r="C51" s="150"/>
      <c r="D51" s="150"/>
      <c r="E51" s="150"/>
      <c r="F51" s="150"/>
      <c r="G51" s="2"/>
      <c r="H51" s="2"/>
      <c r="I51" s="2"/>
      <c r="J51" s="2"/>
      <c r="K51" s="2"/>
      <c r="L51" s="2"/>
      <c r="M51" s="2"/>
      <c r="N51" s="2"/>
      <c r="O51" s="2"/>
    </row>
    <row r="52" spans="1:18" x14ac:dyDescent="0.25">
      <c r="A52" s="150"/>
      <c r="B52" s="150"/>
      <c r="C52" s="150"/>
      <c r="D52" s="150"/>
      <c r="E52" s="150"/>
      <c r="F52" s="150"/>
      <c r="G52" s="2"/>
      <c r="H52" s="2"/>
      <c r="I52" s="2"/>
      <c r="J52" s="2"/>
      <c r="K52" s="2"/>
      <c r="L52" s="2"/>
      <c r="M52" s="2"/>
      <c r="N52" s="2"/>
      <c r="O52" s="2"/>
    </row>
    <row r="53" spans="1:18" x14ac:dyDescent="0.25">
      <c r="A53" s="150"/>
      <c r="B53" s="150"/>
      <c r="C53" s="150"/>
      <c r="D53" s="150"/>
      <c r="E53" s="150"/>
      <c r="F53" s="150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  <c r="F54" s="150"/>
      <c r="G54" s="2"/>
      <c r="H54" s="2"/>
      <c r="I54" s="2"/>
      <c r="J54" s="2"/>
      <c r="K54" s="2"/>
      <c r="L54" s="2"/>
      <c r="M54" s="2"/>
      <c r="N54" s="2"/>
      <c r="O54" s="2"/>
    </row>
    <row r="55" spans="1:18" x14ac:dyDescent="0.25">
      <c r="A55" s="150"/>
      <c r="B55" s="150"/>
      <c r="C55" s="150"/>
      <c r="D55" s="150"/>
      <c r="E55" s="150"/>
      <c r="F55" s="150"/>
    </row>
    <row r="56" spans="1:18" x14ac:dyDescent="0.25">
      <c r="A56" s="150"/>
      <c r="B56" s="150"/>
      <c r="C56" s="150"/>
      <c r="D56" s="150"/>
      <c r="E56" s="150"/>
      <c r="F56" s="150"/>
    </row>
    <row r="57" spans="1:18" x14ac:dyDescent="0.25">
      <c r="A57" s="150"/>
      <c r="B57" s="150"/>
      <c r="C57" s="150"/>
      <c r="D57" s="150"/>
      <c r="E57" s="150"/>
      <c r="F57" s="150"/>
    </row>
    <row r="58" spans="1:18" x14ac:dyDescent="0.25">
      <c r="A58" s="150"/>
      <c r="B58" s="150"/>
      <c r="C58" s="150"/>
      <c r="D58" s="150"/>
      <c r="E58" s="150"/>
      <c r="F58" s="150"/>
    </row>
    <row r="59" spans="1:18" x14ac:dyDescent="0.25">
      <c r="A59" s="150"/>
      <c r="B59" s="150"/>
      <c r="C59" s="150"/>
      <c r="D59" s="150"/>
      <c r="E59" s="150"/>
      <c r="F59" s="150"/>
    </row>
    <row r="60" spans="1:18" x14ac:dyDescent="0.25">
      <c r="A60" s="150"/>
      <c r="B60" s="150"/>
      <c r="C60" s="150"/>
      <c r="D60" s="150"/>
      <c r="E60" s="150"/>
      <c r="F60" s="150"/>
    </row>
    <row r="61" spans="1:18" x14ac:dyDescent="0.25">
      <c r="A61" s="150"/>
      <c r="B61" s="150"/>
      <c r="C61" s="150"/>
      <c r="D61" s="150"/>
      <c r="E61" s="150"/>
      <c r="F61" s="150"/>
    </row>
    <row r="62" spans="1:18" x14ac:dyDescent="0.25">
      <c r="A62" s="150"/>
      <c r="B62" s="150"/>
      <c r="C62" s="150"/>
      <c r="D62" s="150"/>
      <c r="E62" s="150"/>
      <c r="F62" s="150"/>
    </row>
    <row r="63" spans="1:18" x14ac:dyDescent="0.25">
      <c r="A63" s="150"/>
      <c r="B63" s="150"/>
      <c r="C63" s="150"/>
      <c r="D63" s="150"/>
      <c r="E63" s="150"/>
      <c r="F63" s="150"/>
    </row>
  </sheetData>
  <mergeCells count="17">
    <mergeCell ref="A22:B22"/>
    <mergeCell ref="A23:O23"/>
    <mergeCell ref="A10:B10"/>
    <mergeCell ref="A11:O11"/>
    <mergeCell ref="A3:A4"/>
    <mergeCell ref="B3:B4"/>
    <mergeCell ref="A20:B20"/>
    <mergeCell ref="A21:O21"/>
    <mergeCell ref="C1:F1"/>
    <mergeCell ref="J1:O1"/>
    <mergeCell ref="C2:G2"/>
    <mergeCell ref="J2:O2"/>
    <mergeCell ref="L3:O3"/>
    <mergeCell ref="C3:C4"/>
    <mergeCell ref="D3:F3"/>
    <mergeCell ref="G3:G4"/>
    <mergeCell ref="H3:K3"/>
  </mergeCells>
  <pageMargins left="0.51041666666666663" right="0.25" top="0.55208333333333337" bottom="0.75" header="0.3" footer="0.3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Layout" zoomScaleNormal="110" workbookViewId="0">
      <selection activeCell="A37" sqref="A37:F62"/>
    </sheetView>
  </sheetViews>
  <sheetFormatPr defaultRowHeight="15" x14ac:dyDescent="0.25"/>
  <cols>
    <col min="1" max="1" width="8.140625" customWidth="1"/>
    <col min="2" max="2" width="28.42578125" customWidth="1"/>
    <col min="3" max="3" width="8" customWidth="1"/>
    <col min="4" max="4" width="7.7109375" customWidth="1"/>
    <col min="5" max="5" width="7" customWidth="1"/>
    <col min="7" max="7" width="7.42578125" customWidth="1"/>
    <col min="8" max="8" width="5.7109375" customWidth="1"/>
    <col min="9" max="9" width="6.5703125" customWidth="1"/>
    <col min="10" max="10" width="5.85546875" customWidth="1"/>
    <col min="11" max="11" width="6" customWidth="1"/>
    <col min="12" max="12" width="6.42578125" customWidth="1"/>
    <col min="13" max="13" width="8.5703125" customWidth="1"/>
    <col min="14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250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275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x14ac:dyDescent="0.25">
      <c r="A6" s="5" t="s">
        <v>156</v>
      </c>
      <c r="B6" s="20" t="s">
        <v>155</v>
      </c>
      <c r="C6" s="5">
        <v>180</v>
      </c>
      <c r="D6" s="5">
        <f>C6*2.4/100</f>
        <v>4.32</v>
      </c>
      <c r="E6" s="9">
        <f>C6*3.5/100</f>
        <v>6.3</v>
      </c>
      <c r="F6" s="9">
        <f>C6*25.8/100</f>
        <v>46.44</v>
      </c>
      <c r="G6" s="5">
        <f>F6*4+E6*9+D6*4</f>
        <v>259.74</v>
      </c>
      <c r="H6" s="23">
        <f>C6*0.02/100</f>
        <v>3.6000000000000004E-2</v>
      </c>
      <c r="I6" s="35">
        <v>0</v>
      </c>
      <c r="J6" s="35">
        <v>0</v>
      </c>
      <c r="K6" s="23">
        <f>C6*1/100</f>
        <v>1.8</v>
      </c>
      <c r="L6" s="23">
        <f>C6*10/100</f>
        <v>18</v>
      </c>
      <c r="M6" s="23">
        <f>C6*51/100</f>
        <v>91.8</v>
      </c>
      <c r="N6" s="23">
        <f>C6*18/100</f>
        <v>32.4</v>
      </c>
      <c r="O6" s="23">
        <f>C6*0.4/100</f>
        <v>0.72</v>
      </c>
      <c r="P6" s="6"/>
      <c r="Q6" s="4"/>
      <c r="R6" s="2"/>
    </row>
    <row r="7" spans="1:18" x14ac:dyDescent="0.25">
      <c r="A7" s="5" t="s">
        <v>256</v>
      </c>
      <c r="B7" s="8" t="s">
        <v>257</v>
      </c>
      <c r="C7" s="5">
        <v>40</v>
      </c>
      <c r="D7" s="5">
        <v>2.4500000000000002</v>
      </c>
      <c r="E7" s="9">
        <v>7.55</v>
      </c>
      <c r="F7" s="9">
        <v>14.62</v>
      </c>
      <c r="G7" s="9">
        <f>F7*4+E7*9+D7*4</f>
        <v>136.23000000000002</v>
      </c>
      <c r="H7" s="22">
        <v>0.17</v>
      </c>
      <c r="I7" s="35">
        <v>0</v>
      </c>
      <c r="J7" s="22">
        <v>0.15</v>
      </c>
      <c r="K7" s="22">
        <v>5.45</v>
      </c>
      <c r="L7" s="23">
        <v>215.99</v>
      </c>
      <c r="M7" s="23">
        <v>217</v>
      </c>
      <c r="N7" s="22">
        <v>42.91</v>
      </c>
      <c r="O7" s="22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5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/>
      <c r="B9" s="8" t="s">
        <v>136</v>
      </c>
      <c r="C9" s="5">
        <v>200</v>
      </c>
      <c r="D9" s="9">
        <v>1</v>
      </c>
      <c r="E9" s="9">
        <v>0.2</v>
      </c>
      <c r="F9" s="9">
        <v>20.2</v>
      </c>
      <c r="G9" s="9">
        <f>F9*4+E9*9+D9*4</f>
        <v>86.6</v>
      </c>
      <c r="H9" s="5">
        <v>0.02</v>
      </c>
      <c r="I9" s="10">
        <v>4</v>
      </c>
      <c r="J9" s="10">
        <v>0</v>
      </c>
      <c r="K9" s="9">
        <v>0.2</v>
      </c>
      <c r="L9" s="9">
        <v>14</v>
      </c>
      <c r="M9" s="9">
        <v>14</v>
      </c>
      <c r="N9" s="9">
        <v>8</v>
      </c>
      <c r="O9" s="9">
        <v>2.8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>SUM(D6:D9)</f>
        <v>10.77</v>
      </c>
      <c r="E10" s="15">
        <f>SUM(E6:E9)</f>
        <v>15.209999999999999</v>
      </c>
      <c r="F10" s="16">
        <f>SUM(F6:F9)</f>
        <v>101.82</v>
      </c>
      <c r="G10" s="15">
        <f>SUM(G6:G9)</f>
        <v>587.25</v>
      </c>
      <c r="H10" s="15">
        <f t="shared" ref="H10:O10" si="0">SUM(H6:H9)</f>
        <v>0.27</v>
      </c>
      <c r="I10" s="16">
        <f t="shared" si="0"/>
        <v>4</v>
      </c>
      <c r="J10" s="15">
        <f t="shared" si="0"/>
        <v>0.15</v>
      </c>
      <c r="K10" s="15">
        <f t="shared" si="0"/>
        <v>8.129999999999999</v>
      </c>
      <c r="L10" s="15">
        <f t="shared" si="0"/>
        <v>255.59</v>
      </c>
      <c r="M10" s="15">
        <f t="shared" si="0"/>
        <v>348.8</v>
      </c>
      <c r="N10" s="15">
        <f t="shared" si="0"/>
        <v>88.51</v>
      </c>
      <c r="O10" s="15">
        <f t="shared" si="0"/>
        <v>5.74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 t="s">
        <v>302</v>
      </c>
      <c r="B12" s="20" t="s">
        <v>137</v>
      </c>
      <c r="C12" s="5">
        <v>100</v>
      </c>
      <c r="D12" s="9">
        <v>0.6</v>
      </c>
      <c r="E12" s="9">
        <v>7.1</v>
      </c>
      <c r="F12" s="9">
        <v>3</v>
      </c>
      <c r="G12" s="9">
        <f t="shared" ref="G12:G16" si="1">F12*4+E12*9+D12*4</f>
        <v>78.300000000000011</v>
      </c>
      <c r="H12" s="23">
        <f>C12*0.03/100</f>
        <v>0.03</v>
      </c>
      <c r="I12" s="23">
        <f>C12*7/100</f>
        <v>7</v>
      </c>
      <c r="J12" s="35">
        <v>0</v>
      </c>
      <c r="K12" s="23">
        <f>C12*0.1/100</f>
        <v>0.1</v>
      </c>
      <c r="L12" s="23">
        <f>C12*17/100</f>
        <v>17</v>
      </c>
      <c r="M12" s="23">
        <f>C12*30/100</f>
        <v>30</v>
      </c>
      <c r="N12" s="23">
        <f>C12*14/100</f>
        <v>14</v>
      </c>
      <c r="O12" s="23">
        <f>C12*0.5/100</f>
        <v>0.5</v>
      </c>
      <c r="P12" s="6"/>
      <c r="Q12" s="4"/>
      <c r="R12" s="2"/>
    </row>
    <row r="13" spans="1:18" x14ac:dyDescent="0.25">
      <c r="A13" s="5" t="s">
        <v>135</v>
      </c>
      <c r="B13" s="20" t="s">
        <v>134</v>
      </c>
      <c r="C13" s="5">
        <v>250</v>
      </c>
      <c r="D13" s="9">
        <f>C13*0.89/100</f>
        <v>2.2250000000000001</v>
      </c>
      <c r="E13" s="9">
        <f>C13*1.19/100</f>
        <v>2.9750000000000001</v>
      </c>
      <c r="F13" s="9">
        <f>C13*5.65/100</f>
        <v>14.125</v>
      </c>
      <c r="G13" s="9">
        <f t="shared" si="1"/>
        <v>92.175000000000011</v>
      </c>
      <c r="H13" s="35">
        <v>0</v>
      </c>
      <c r="I13" s="23">
        <v>0.92</v>
      </c>
      <c r="J13" s="23">
        <v>0.02</v>
      </c>
      <c r="K13" s="35">
        <v>0</v>
      </c>
      <c r="L13" s="9">
        <v>37.72</v>
      </c>
      <c r="M13" s="23">
        <v>109.4</v>
      </c>
      <c r="N13" s="23">
        <v>14.18</v>
      </c>
      <c r="O13" s="23">
        <v>0.71</v>
      </c>
      <c r="P13" s="6"/>
      <c r="Q13" s="4"/>
      <c r="R13" s="2"/>
    </row>
    <row r="14" spans="1:18" x14ac:dyDescent="0.25">
      <c r="A14" s="5" t="s">
        <v>149</v>
      </c>
      <c r="B14" s="20" t="s">
        <v>148</v>
      </c>
      <c r="C14" s="5">
        <v>230</v>
      </c>
      <c r="D14" s="9">
        <f>C14*8.9/100</f>
        <v>20.47</v>
      </c>
      <c r="E14" s="9">
        <f>C14*4.9/100</f>
        <v>11.27</v>
      </c>
      <c r="F14" s="9">
        <f>C14*10.8/100</f>
        <v>24.84</v>
      </c>
      <c r="G14" s="9">
        <f t="shared" si="1"/>
        <v>282.66999999999996</v>
      </c>
      <c r="H14" s="9">
        <f>C14*0.08/100</f>
        <v>0.18400000000000002</v>
      </c>
      <c r="I14" s="5">
        <f>C14*4.6/100</f>
        <v>10.58</v>
      </c>
      <c r="J14" s="9">
        <v>0</v>
      </c>
      <c r="K14" s="9">
        <f>C14*0.3/100</f>
        <v>0.69</v>
      </c>
      <c r="L14" s="9">
        <f>C14*16/100</f>
        <v>36.799999999999997</v>
      </c>
      <c r="M14" s="9">
        <f>C14*94/100</f>
        <v>216.2</v>
      </c>
      <c r="N14" s="9">
        <f>C14*22/100</f>
        <v>50.6</v>
      </c>
      <c r="O14" s="5">
        <f>C14*1.4/100</f>
        <v>3.22</v>
      </c>
      <c r="P14" s="6"/>
      <c r="Q14" s="4"/>
      <c r="R14" s="2"/>
    </row>
    <row r="15" spans="1:18" x14ac:dyDescent="0.25">
      <c r="A15" s="5"/>
      <c r="B15" s="8" t="s">
        <v>19</v>
      </c>
      <c r="C15" s="5">
        <v>50</v>
      </c>
      <c r="D15" s="5">
        <f>C15*7.7/100</f>
        <v>3.85</v>
      </c>
      <c r="E15" s="9">
        <f>C15*0.8/100</f>
        <v>0.4</v>
      </c>
      <c r="F15" s="5">
        <f>C15*49.5/100</f>
        <v>24.75</v>
      </c>
      <c r="G15" s="9">
        <f t="shared" si="1"/>
        <v>118</v>
      </c>
      <c r="H15" s="5">
        <f>C15*0.11/100</f>
        <v>5.5E-2</v>
      </c>
      <c r="I15" s="10">
        <v>0</v>
      </c>
      <c r="J15" s="10">
        <v>0</v>
      </c>
      <c r="K15" s="5">
        <f>C15*1.1/100</f>
        <v>0.55000000000000004</v>
      </c>
      <c r="L15" s="9">
        <f>C15*20/100</f>
        <v>10</v>
      </c>
      <c r="M15" s="9">
        <f>C15*65/100</f>
        <v>32.5</v>
      </c>
      <c r="N15" s="9">
        <f>C15*49/100</f>
        <v>24.5</v>
      </c>
      <c r="O15" s="5">
        <f>C15*1.1/100</f>
        <v>0.55000000000000004</v>
      </c>
      <c r="P15" s="6"/>
      <c r="Q15" s="4"/>
      <c r="R15" s="2"/>
    </row>
    <row r="16" spans="1:18" x14ac:dyDescent="0.25">
      <c r="A16" s="5"/>
      <c r="B16" s="8" t="s">
        <v>36</v>
      </c>
      <c r="C16" s="5">
        <v>40</v>
      </c>
      <c r="D16" s="5">
        <f>C16*6.6/100</f>
        <v>2.64</v>
      </c>
      <c r="E16" s="5">
        <f>C16*1.1/100</f>
        <v>0.44</v>
      </c>
      <c r="F16" s="5">
        <f>C16*43.9/100</f>
        <v>17.559999999999999</v>
      </c>
      <c r="G16" s="5">
        <f t="shared" si="1"/>
        <v>84.759999999999991</v>
      </c>
      <c r="H16" s="9">
        <f>C16*0.18/100</f>
        <v>7.1999999999999995E-2</v>
      </c>
      <c r="I16" s="10">
        <v>0</v>
      </c>
      <c r="J16" s="10">
        <v>0</v>
      </c>
      <c r="K16" s="5">
        <f>C16*1.4/100</f>
        <v>0.56000000000000005</v>
      </c>
      <c r="L16" s="9">
        <f>C16*35/100</f>
        <v>14</v>
      </c>
      <c r="M16" s="9">
        <f>C16*158/100</f>
        <v>63.2</v>
      </c>
      <c r="N16" s="9">
        <f>C16*47/100</f>
        <v>18.8</v>
      </c>
      <c r="O16" s="5">
        <f>C16*3.9/100</f>
        <v>1.56</v>
      </c>
      <c r="P16" s="6"/>
      <c r="Q16" s="4"/>
      <c r="R16" s="2"/>
    </row>
    <row r="17" spans="1:18" x14ac:dyDescent="0.25">
      <c r="A17" s="5" t="s">
        <v>84</v>
      </c>
      <c r="B17" s="8" t="s">
        <v>74</v>
      </c>
      <c r="C17" s="5">
        <v>200</v>
      </c>
      <c r="D17" s="9">
        <v>4.9000000000000004</v>
      </c>
      <c r="E17" s="9">
        <v>5</v>
      </c>
      <c r="F17" s="9">
        <v>32.5</v>
      </c>
      <c r="G17" s="9">
        <f>F17*4+E17*9+D17*4</f>
        <v>194.6</v>
      </c>
      <c r="H17" s="5">
        <v>0.06</v>
      </c>
      <c r="I17" s="5">
        <v>0.54</v>
      </c>
      <c r="J17" s="5">
        <v>0.04</v>
      </c>
      <c r="K17" s="9">
        <v>0.4</v>
      </c>
      <c r="L17" s="9">
        <v>172.2</v>
      </c>
      <c r="M17" s="9">
        <v>178.4</v>
      </c>
      <c r="N17" s="9">
        <v>24.8</v>
      </c>
      <c r="O17" s="9">
        <v>1</v>
      </c>
      <c r="P17" s="6"/>
      <c r="Q17" s="4"/>
      <c r="R17" s="2"/>
    </row>
    <row r="18" spans="1:18" x14ac:dyDescent="0.25">
      <c r="A18" s="5"/>
      <c r="B18" s="8" t="s">
        <v>73</v>
      </c>
      <c r="C18" s="5">
        <v>100</v>
      </c>
      <c r="D18" s="9">
        <v>1.5</v>
      </c>
      <c r="E18" s="9">
        <v>0.5</v>
      </c>
      <c r="F18" s="9">
        <v>21</v>
      </c>
      <c r="G18" s="9">
        <f t="shared" ref="G18" si="2">F18*4+E18*9+D18*4</f>
        <v>94.5</v>
      </c>
      <c r="H18" s="5">
        <v>0.04</v>
      </c>
      <c r="I18" s="9">
        <v>10</v>
      </c>
      <c r="J18" s="10">
        <v>0</v>
      </c>
      <c r="K18" s="9">
        <v>0.4</v>
      </c>
      <c r="L18" s="9">
        <v>8</v>
      </c>
      <c r="M18" s="9">
        <v>28</v>
      </c>
      <c r="N18" s="9">
        <v>42</v>
      </c>
      <c r="O18" s="9">
        <v>0.6</v>
      </c>
      <c r="P18" s="6"/>
      <c r="Q18" s="4"/>
      <c r="R18" s="2"/>
    </row>
    <row r="19" spans="1:18" x14ac:dyDescent="0.25">
      <c r="A19" s="205" t="s">
        <v>59</v>
      </c>
      <c r="B19" s="207"/>
      <c r="C19" s="5"/>
      <c r="D19" s="16">
        <f t="shared" ref="D19:O19" si="3">SUM(D12:D18)</f>
        <v>36.185000000000002</v>
      </c>
      <c r="E19" s="16">
        <f t="shared" si="3"/>
        <v>27.684999999999999</v>
      </c>
      <c r="F19" s="16">
        <f t="shared" si="3"/>
        <v>137.77500000000001</v>
      </c>
      <c r="G19" s="16">
        <f t="shared" si="3"/>
        <v>945.005</v>
      </c>
      <c r="H19" s="16">
        <f t="shared" si="3"/>
        <v>0.441</v>
      </c>
      <c r="I19" s="16">
        <f t="shared" si="3"/>
        <v>29.04</v>
      </c>
      <c r="J19" s="16">
        <f t="shared" si="3"/>
        <v>0.06</v>
      </c>
      <c r="K19" s="16">
        <f t="shared" si="3"/>
        <v>2.6999999999999997</v>
      </c>
      <c r="L19" s="16">
        <f t="shared" si="3"/>
        <v>295.71999999999997</v>
      </c>
      <c r="M19" s="16">
        <f t="shared" si="3"/>
        <v>657.7</v>
      </c>
      <c r="N19" s="16">
        <f t="shared" si="3"/>
        <v>188.88</v>
      </c>
      <c r="O19" s="16">
        <f t="shared" si="3"/>
        <v>8.1399999999999988</v>
      </c>
      <c r="P19" s="6"/>
      <c r="Q19" s="4"/>
      <c r="R19" s="2"/>
    </row>
    <row r="20" spans="1:18" x14ac:dyDescent="0.25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6"/>
      <c r="Q20" s="4"/>
      <c r="R20" s="2"/>
    </row>
    <row r="21" spans="1:18" x14ac:dyDescent="0.25">
      <c r="A21" s="205" t="s">
        <v>57</v>
      </c>
      <c r="B21" s="207"/>
      <c r="C21" s="5"/>
      <c r="D21" s="16">
        <f t="shared" ref="D21:O21" si="4">D10+D19</f>
        <v>46.954999999999998</v>
      </c>
      <c r="E21" s="16">
        <f t="shared" si="4"/>
        <v>42.894999999999996</v>
      </c>
      <c r="F21" s="16">
        <f t="shared" si="4"/>
        <v>239.595</v>
      </c>
      <c r="G21" s="16">
        <f t="shared" si="4"/>
        <v>1532.2550000000001</v>
      </c>
      <c r="H21" s="16">
        <f t="shared" si="4"/>
        <v>0.71100000000000008</v>
      </c>
      <c r="I21" s="16">
        <f t="shared" si="4"/>
        <v>33.04</v>
      </c>
      <c r="J21" s="15">
        <f t="shared" si="4"/>
        <v>0.21</v>
      </c>
      <c r="K21" s="16">
        <f t="shared" si="4"/>
        <v>10.829999999999998</v>
      </c>
      <c r="L21" s="15">
        <f t="shared" si="4"/>
        <v>551.30999999999995</v>
      </c>
      <c r="M21" s="16">
        <f t="shared" si="4"/>
        <v>1006.5</v>
      </c>
      <c r="N21" s="15">
        <f t="shared" si="4"/>
        <v>277.39</v>
      </c>
      <c r="O21" s="16">
        <f t="shared" si="4"/>
        <v>13.879999999999999</v>
      </c>
      <c r="P21" s="6"/>
      <c r="Q21" s="4"/>
      <c r="R21" s="2"/>
    </row>
    <row r="22" spans="1:18" x14ac:dyDescent="0.25">
      <c r="A22" s="205" t="s">
        <v>39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7"/>
      <c r="P22" s="6"/>
      <c r="Q22" s="4"/>
      <c r="R22" s="2"/>
    </row>
    <row r="23" spans="1:18" ht="25.5" x14ac:dyDescent="0.25">
      <c r="A23" s="5" t="s">
        <v>139</v>
      </c>
      <c r="B23" s="20" t="s">
        <v>138</v>
      </c>
      <c r="C23" s="5">
        <v>250</v>
      </c>
      <c r="D23" s="9">
        <f>C23*2.88/100</f>
        <v>7.2</v>
      </c>
      <c r="E23" s="9">
        <f>C23*2.61/100</f>
        <v>6.5250000000000004</v>
      </c>
      <c r="F23" s="9">
        <f>C23*9.42/100</f>
        <v>23.55</v>
      </c>
      <c r="G23" s="9">
        <f>F23*4+E23*9+D23*4</f>
        <v>181.72500000000002</v>
      </c>
      <c r="H23" s="5">
        <v>0.08</v>
      </c>
      <c r="I23" s="9">
        <v>0.8</v>
      </c>
      <c r="J23" s="5">
        <v>2.5000000000000001E-2</v>
      </c>
      <c r="K23" s="9">
        <v>0.5</v>
      </c>
      <c r="L23" s="9">
        <v>148</v>
      </c>
      <c r="M23" s="9">
        <v>125</v>
      </c>
      <c r="N23" s="9">
        <v>20</v>
      </c>
      <c r="O23" s="9">
        <v>0.5</v>
      </c>
      <c r="P23" s="6"/>
      <c r="Q23" s="4"/>
      <c r="R23" s="2"/>
    </row>
    <row r="24" spans="1:18" x14ac:dyDescent="0.25">
      <c r="A24" s="5" t="s">
        <v>127</v>
      </c>
      <c r="B24" s="8" t="s">
        <v>75</v>
      </c>
      <c r="C24" s="5">
        <v>200</v>
      </c>
      <c r="D24" s="9">
        <v>0.2</v>
      </c>
      <c r="E24" s="10">
        <v>0</v>
      </c>
      <c r="F24" s="9">
        <v>14</v>
      </c>
      <c r="G24" s="9">
        <f>F24*4+E24*9+D24*4</f>
        <v>56.8</v>
      </c>
      <c r="H24" s="10">
        <v>0</v>
      </c>
      <c r="I24" s="10">
        <v>0</v>
      </c>
      <c r="J24" s="10">
        <v>0</v>
      </c>
      <c r="K24" s="10">
        <v>0</v>
      </c>
      <c r="L24" s="9">
        <v>12</v>
      </c>
      <c r="M24" s="9">
        <v>4</v>
      </c>
      <c r="N24" s="9">
        <v>6</v>
      </c>
      <c r="O24" s="9">
        <v>0.4</v>
      </c>
      <c r="P24" s="6"/>
      <c r="Q24" s="4"/>
      <c r="R24" s="2"/>
    </row>
    <row r="25" spans="1:18" x14ac:dyDescent="0.25">
      <c r="A25" s="5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4"/>
      <c r="R25" s="2"/>
    </row>
    <row r="26" spans="1:18" x14ac:dyDescent="0.25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6"/>
      <c r="Q26" s="4"/>
      <c r="R26" s="2"/>
    </row>
    <row r="27" spans="1:18" x14ac:dyDescent="0.25">
      <c r="A27" s="6"/>
      <c r="B27" s="1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4"/>
      <c r="R27" s="2"/>
    </row>
    <row r="28" spans="1:18" x14ac:dyDescent="0.25">
      <c r="A28" s="6"/>
      <c r="B28" s="1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11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ht="17.25" x14ac:dyDescent="0.3">
      <c r="A30" s="130"/>
      <c r="B30" s="130"/>
      <c r="C30" s="196"/>
      <c r="D30" s="196"/>
      <c r="E30" s="196"/>
      <c r="F30" s="196"/>
      <c r="G30" s="131"/>
      <c r="H30" s="132"/>
      <c r="I30" s="132"/>
      <c r="J30" s="195"/>
      <c r="K30" s="195"/>
      <c r="L30" s="195"/>
      <c r="M30" s="195"/>
      <c r="N30" s="195"/>
      <c r="O30" s="195"/>
      <c r="P30" s="6"/>
      <c r="Q30" s="4"/>
      <c r="R30" s="2"/>
    </row>
    <row r="31" spans="1:18" ht="17.25" x14ac:dyDescent="0.3">
      <c r="A31" s="130"/>
      <c r="B31" s="130"/>
      <c r="C31" s="197"/>
      <c r="D31" s="197"/>
      <c r="E31" s="197"/>
      <c r="F31" s="197"/>
      <c r="G31" s="197"/>
      <c r="H31" s="132"/>
      <c r="I31" s="132"/>
      <c r="J31" s="195"/>
      <c r="K31" s="195"/>
      <c r="L31" s="195"/>
      <c r="M31" s="195"/>
      <c r="N31" s="195"/>
      <c r="O31" s="195"/>
      <c r="P31" s="6"/>
      <c r="Q31" s="4"/>
      <c r="R31" s="2"/>
    </row>
    <row r="32" spans="1:18" ht="15" customHeight="1" x14ac:dyDescent="0.25">
      <c r="A32" s="123"/>
      <c r="B32" s="123"/>
      <c r="C32" s="122"/>
      <c r="D32" s="193"/>
      <c r="E32" s="193"/>
      <c r="F32" s="193"/>
      <c r="G32" s="122"/>
      <c r="H32" s="193"/>
      <c r="I32" s="193"/>
      <c r="J32" s="193"/>
      <c r="K32" s="193"/>
      <c r="L32" s="193"/>
      <c r="M32" s="193"/>
      <c r="N32" s="193"/>
      <c r="O32" s="193"/>
      <c r="P32" s="6"/>
      <c r="Q32" s="4"/>
      <c r="R32" s="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2"/>
    </row>
    <row r="36" spans="1:18" x14ac:dyDescent="0.25">
      <c r="A36" s="6"/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6"/>
      <c r="B37" s="78"/>
      <c r="C37" s="60"/>
      <c r="D37" s="60"/>
      <c r="E37" s="60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15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33"/>
      <c r="Q40" s="2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8" x14ac:dyDescent="0.25">
      <c r="A48" s="6"/>
      <c r="B48" s="15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150"/>
      <c r="C49" s="149"/>
      <c r="D49" s="149"/>
      <c r="E49" s="149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149"/>
      <c r="B50" s="150"/>
      <c r="C50" s="150"/>
      <c r="D50" s="150"/>
      <c r="E50" s="150"/>
      <c r="F50" s="149"/>
      <c r="G50" s="33"/>
      <c r="H50" s="33"/>
      <c r="I50" s="33"/>
      <c r="J50" s="33"/>
      <c r="K50" s="33"/>
      <c r="L50" s="33"/>
      <c r="M50" s="33"/>
      <c r="N50" s="33"/>
      <c r="O50" s="33"/>
    </row>
    <row r="51" spans="1:15" x14ac:dyDescent="0.25">
      <c r="A51" s="150"/>
      <c r="B51" s="150"/>
      <c r="C51" s="150"/>
      <c r="D51" s="150"/>
      <c r="E51" s="150"/>
      <c r="F51" s="150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50"/>
      <c r="B52" s="150"/>
      <c r="C52" s="150"/>
      <c r="D52" s="150"/>
      <c r="E52" s="150"/>
      <c r="F52" s="150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150"/>
      <c r="B53" s="150"/>
      <c r="C53" s="150"/>
      <c r="D53" s="150"/>
      <c r="E53" s="150"/>
      <c r="F53" s="150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150"/>
      <c r="B54" s="150"/>
      <c r="C54" s="150"/>
      <c r="D54" s="150"/>
      <c r="E54" s="150"/>
      <c r="F54" s="150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150"/>
      <c r="B55" s="150"/>
      <c r="C55" s="150"/>
      <c r="D55" s="150"/>
      <c r="E55" s="150"/>
      <c r="F55" s="150"/>
    </row>
    <row r="56" spans="1:15" x14ac:dyDescent="0.25">
      <c r="A56" s="150"/>
      <c r="B56" s="150"/>
      <c r="C56" s="150"/>
      <c r="D56" s="150"/>
      <c r="E56" s="150"/>
      <c r="F56" s="150"/>
    </row>
    <row r="57" spans="1:15" x14ac:dyDescent="0.25">
      <c r="A57" s="150"/>
      <c r="B57" s="150"/>
      <c r="C57" s="150"/>
      <c r="D57" s="150"/>
      <c r="E57" s="150"/>
      <c r="F57" s="150"/>
    </row>
    <row r="58" spans="1:15" x14ac:dyDescent="0.25">
      <c r="A58" s="150"/>
      <c r="B58" s="150"/>
      <c r="C58" s="150"/>
      <c r="D58" s="150"/>
      <c r="E58" s="150"/>
      <c r="F58" s="150"/>
    </row>
    <row r="59" spans="1:15" x14ac:dyDescent="0.25">
      <c r="A59" s="150"/>
      <c r="B59" s="150"/>
      <c r="C59" s="150"/>
      <c r="D59" s="150"/>
      <c r="E59" s="150"/>
      <c r="F59" s="150"/>
    </row>
    <row r="60" spans="1:15" x14ac:dyDescent="0.25">
      <c r="A60" s="150"/>
      <c r="B60" s="150"/>
      <c r="C60" s="150"/>
      <c r="D60" s="150"/>
      <c r="E60" s="150"/>
      <c r="F60" s="150"/>
    </row>
    <row r="61" spans="1:15" x14ac:dyDescent="0.25">
      <c r="A61" s="150"/>
      <c r="B61" s="150"/>
      <c r="C61" s="150"/>
      <c r="D61" s="150"/>
      <c r="E61" s="150"/>
      <c r="F61" s="150"/>
    </row>
    <row r="62" spans="1:15" x14ac:dyDescent="0.25">
      <c r="A62" s="150"/>
      <c r="B62" s="150"/>
      <c r="C62" s="150"/>
      <c r="D62" s="150"/>
      <c r="E62" s="150"/>
      <c r="F62" s="150"/>
    </row>
  </sheetData>
  <mergeCells count="24">
    <mergeCell ref="A22:O22"/>
    <mergeCell ref="A10:B10"/>
    <mergeCell ref="A11:O11"/>
    <mergeCell ref="A3:A4"/>
    <mergeCell ref="B3:B4"/>
    <mergeCell ref="A19:B19"/>
    <mergeCell ref="A20:O20"/>
    <mergeCell ref="A21:B21"/>
    <mergeCell ref="H32:K32"/>
    <mergeCell ref="L32:O32"/>
    <mergeCell ref="D32:F32"/>
    <mergeCell ref="C30:F30"/>
    <mergeCell ref="J30:O30"/>
    <mergeCell ref="C31:G31"/>
    <mergeCell ref="J31:O31"/>
    <mergeCell ref="C1:F1"/>
    <mergeCell ref="J1:O1"/>
    <mergeCell ref="C2:G2"/>
    <mergeCell ref="J2:O2"/>
    <mergeCell ref="L3:O3"/>
    <mergeCell ref="H3:K3"/>
    <mergeCell ref="C3:C4"/>
    <mergeCell ref="D3:F3"/>
    <mergeCell ref="G3:G4"/>
  </mergeCells>
  <pageMargins left="0.58333333333333337" right="0.25" top="0.75" bottom="0.75" header="0.3" footer="0.3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Layout" zoomScaleNormal="110" workbookViewId="0">
      <selection activeCell="A36" sqref="A36:E60"/>
    </sheetView>
  </sheetViews>
  <sheetFormatPr defaultRowHeight="15" x14ac:dyDescent="0.25"/>
  <cols>
    <col min="1" max="1" width="9.85546875" customWidth="1"/>
    <col min="2" max="2" width="25.28515625" customWidth="1"/>
    <col min="3" max="3" width="8" customWidth="1"/>
    <col min="4" max="4" width="7.7109375" customWidth="1"/>
    <col min="5" max="5" width="7" customWidth="1"/>
    <col min="7" max="7" width="9" customWidth="1"/>
    <col min="8" max="8" width="5.7109375" customWidth="1"/>
    <col min="9" max="9" width="6.140625" customWidth="1"/>
    <col min="10" max="10" width="5.85546875" customWidth="1"/>
    <col min="11" max="11" width="6" customWidth="1"/>
    <col min="12" max="12" width="6.42578125" customWidth="1"/>
    <col min="13" max="14" width="7" customWidth="1"/>
    <col min="15" max="15" width="6.42578125" customWidth="1"/>
  </cols>
  <sheetData>
    <row r="1" spans="1:18" ht="17.25" x14ac:dyDescent="0.3">
      <c r="A1" s="130" t="s">
        <v>251</v>
      </c>
      <c r="B1" s="130"/>
      <c r="C1" s="196" t="s">
        <v>276</v>
      </c>
      <c r="D1" s="196"/>
      <c r="E1" s="196"/>
      <c r="F1" s="196"/>
      <c r="G1" s="131"/>
      <c r="H1" s="132"/>
      <c r="I1" s="132"/>
      <c r="J1" s="195"/>
      <c r="K1" s="195"/>
      <c r="L1" s="195"/>
      <c r="M1" s="195"/>
      <c r="N1" s="195"/>
      <c r="O1" s="195"/>
    </row>
    <row r="2" spans="1:18" ht="17.25" x14ac:dyDescent="0.3">
      <c r="A2" s="130" t="s">
        <v>270</v>
      </c>
      <c r="B2" s="130"/>
      <c r="C2" s="197" t="s">
        <v>271</v>
      </c>
      <c r="D2" s="197"/>
      <c r="E2" s="197"/>
      <c r="F2" s="197"/>
      <c r="G2" s="197"/>
      <c r="H2" s="132"/>
      <c r="I2" s="132"/>
      <c r="J2" s="195"/>
      <c r="K2" s="195"/>
      <c r="L2" s="195"/>
      <c r="M2" s="195"/>
      <c r="N2" s="195"/>
      <c r="O2" s="195"/>
    </row>
    <row r="3" spans="1:18" ht="18" customHeight="1" x14ac:dyDescent="0.25">
      <c r="A3" s="201" t="s">
        <v>0</v>
      </c>
      <c r="B3" s="201" t="s">
        <v>1</v>
      </c>
      <c r="C3" s="203" t="s">
        <v>2</v>
      </c>
      <c r="D3" s="198" t="s">
        <v>6</v>
      </c>
      <c r="E3" s="199"/>
      <c r="F3" s="200"/>
      <c r="G3" s="203" t="s">
        <v>7</v>
      </c>
      <c r="H3" s="198" t="s">
        <v>8</v>
      </c>
      <c r="I3" s="199"/>
      <c r="J3" s="199"/>
      <c r="K3" s="200"/>
      <c r="L3" s="198" t="s">
        <v>9</v>
      </c>
      <c r="M3" s="199"/>
      <c r="N3" s="199"/>
      <c r="O3" s="200"/>
      <c r="P3" s="4"/>
      <c r="Q3" s="4"/>
      <c r="R3" s="2"/>
    </row>
    <row r="4" spans="1:18" x14ac:dyDescent="0.25">
      <c r="A4" s="202"/>
      <c r="B4" s="202"/>
      <c r="C4" s="204"/>
      <c r="D4" s="18" t="s">
        <v>3</v>
      </c>
      <c r="E4" s="18" t="s">
        <v>4</v>
      </c>
      <c r="F4" s="18" t="s">
        <v>5</v>
      </c>
      <c r="G4" s="204"/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4"/>
      <c r="Q4" s="4"/>
      <c r="R4" s="2"/>
    </row>
    <row r="5" spans="1:18" x14ac:dyDescent="0.25">
      <c r="A5" s="11"/>
      <c r="B5" s="12"/>
      <c r="C5" s="12"/>
      <c r="D5" s="12"/>
      <c r="E5" s="12"/>
      <c r="F5" s="14" t="s">
        <v>26</v>
      </c>
      <c r="G5" s="12"/>
      <c r="H5" s="12"/>
      <c r="I5" s="12"/>
      <c r="J5" s="12"/>
      <c r="K5" s="12"/>
      <c r="L5" s="12"/>
      <c r="M5" s="12"/>
      <c r="N5" s="12"/>
      <c r="O5" s="13"/>
      <c r="P5" s="4"/>
      <c r="Q5" s="4"/>
      <c r="R5" s="2"/>
    </row>
    <row r="6" spans="1:18" ht="30" customHeight="1" x14ac:dyDescent="0.25">
      <c r="A6" s="5" t="s">
        <v>252</v>
      </c>
      <c r="B6" s="20" t="s">
        <v>132</v>
      </c>
      <c r="C6" s="5">
        <v>180</v>
      </c>
      <c r="D6" s="9">
        <f>C6*3.5/100</f>
        <v>6.3</v>
      </c>
      <c r="E6" s="5">
        <f>C6*4.6/100</f>
        <v>8.2799999999999994</v>
      </c>
      <c r="F6" s="9">
        <f>C6*16.7/100</f>
        <v>30.06</v>
      </c>
      <c r="G6" s="5">
        <f>F6*4+E6*9+D6*4</f>
        <v>219.95999999999998</v>
      </c>
      <c r="H6" s="23">
        <f>C6*0.08/100</f>
        <v>0.14400000000000002</v>
      </c>
      <c r="I6" s="35">
        <v>0</v>
      </c>
      <c r="J6" s="35">
        <v>0</v>
      </c>
      <c r="K6" s="22">
        <f>C6*0.8/100</f>
        <v>1.44</v>
      </c>
      <c r="L6" s="23">
        <f>C6*14/100</f>
        <v>25.2</v>
      </c>
      <c r="M6" s="23">
        <f>C6*56/100</f>
        <v>100.8</v>
      </c>
      <c r="N6" s="23">
        <f>C6*21/100</f>
        <v>37.799999999999997</v>
      </c>
      <c r="O6" s="23">
        <f>C6*0.7/100</f>
        <v>1.2599999999999998</v>
      </c>
      <c r="P6" s="6"/>
      <c r="Q6" s="4"/>
      <c r="R6" s="2"/>
    </row>
    <row r="7" spans="1:18" x14ac:dyDescent="0.25">
      <c r="A7" s="5" t="s">
        <v>105</v>
      </c>
      <c r="B7" s="8" t="s">
        <v>104</v>
      </c>
      <c r="C7" s="5">
        <v>50</v>
      </c>
      <c r="D7" s="5">
        <v>4.7300000000000004</v>
      </c>
      <c r="E7" s="9">
        <v>6.88</v>
      </c>
      <c r="F7" s="9">
        <v>14.56</v>
      </c>
      <c r="G7" s="9">
        <f>F7*4+E7*9+D7*4</f>
        <v>139.07999999999998</v>
      </c>
      <c r="H7" s="5">
        <v>0.17</v>
      </c>
      <c r="I7" s="10">
        <v>0</v>
      </c>
      <c r="J7" s="5">
        <v>0.15</v>
      </c>
      <c r="K7" s="5">
        <v>5.45</v>
      </c>
      <c r="L7" s="9">
        <v>215.99</v>
      </c>
      <c r="M7" s="9">
        <v>217</v>
      </c>
      <c r="N7" s="5">
        <v>42.91</v>
      </c>
      <c r="O7" s="5">
        <v>1.74</v>
      </c>
      <c r="P7" s="6"/>
      <c r="Q7" s="4"/>
      <c r="R7" s="2"/>
    </row>
    <row r="8" spans="1:18" x14ac:dyDescent="0.25">
      <c r="A8" s="5"/>
      <c r="B8" s="8" t="s">
        <v>83</v>
      </c>
      <c r="C8" s="5">
        <v>40</v>
      </c>
      <c r="D8" s="9">
        <f>C8*7.5/100</f>
        <v>3</v>
      </c>
      <c r="E8" s="5">
        <f>C8*2.9/100</f>
        <v>1.1599999999999999</v>
      </c>
      <c r="F8" s="5">
        <f>C8*51.4/100</f>
        <v>20.56</v>
      </c>
      <c r="G8" s="9">
        <f>F8*4+E8*9+D8*4</f>
        <v>104.67999999999999</v>
      </c>
      <c r="H8" s="9">
        <f>C8*0.11/100</f>
        <v>4.4000000000000004E-2</v>
      </c>
      <c r="I8" s="10">
        <v>0</v>
      </c>
      <c r="J8" s="10">
        <v>0</v>
      </c>
      <c r="K8" s="5">
        <f>C8*1.7/100</f>
        <v>0.68</v>
      </c>
      <c r="L8" s="9">
        <f>C8*19/100</f>
        <v>7.6</v>
      </c>
      <c r="M8" s="9">
        <f>C8*65/100</f>
        <v>26</v>
      </c>
      <c r="N8" s="9">
        <f>C8*13/100</f>
        <v>5.2</v>
      </c>
      <c r="O8" s="5">
        <f>C8*1.2/100</f>
        <v>0.48</v>
      </c>
      <c r="P8" s="6"/>
      <c r="Q8" s="4"/>
      <c r="R8" s="2"/>
    </row>
    <row r="9" spans="1:18" x14ac:dyDescent="0.25">
      <c r="A9" s="5" t="s">
        <v>72</v>
      </c>
      <c r="B9" s="8" t="s">
        <v>71</v>
      </c>
      <c r="C9" s="5">
        <v>200</v>
      </c>
      <c r="D9" s="9">
        <v>0.3</v>
      </c>
      <c r="E9" s="10">
        <v>0</v>
      </c>
      <c r="F9" s="9">
        <v>15.2</v>
      </c>
      <c r="G9" s="9">
        <f t="shared" ref="G9" si="0">F9*4+E9*9+D9*4</f>
        <v>62</v>
      </c>
      <c r="H9" s="10">
        <v>0</v>
      </c>
      <c r="I9" s="9">
        <v>2.2000000000000002</v>
      </c>
      <c r="J9" s="10">
        <v>0</v>
      </c>
      <c r="K9" s="10">
        <v>0</v>
      </c>
      <c r="L9" s="9">
        <v>16</v>
      </c>
      <c r="M9" s="9">
        <v>8</v>
      </c>
      <c r="N9" s="9">
        <v>6</v>
      </c>
      <c r="O9" s="9">
        <v>0.8</v>
      </c>
      <c r="P9" s="6"/>
      <c r="Q9" s="4"/>
      <c r="R9" s="2"/>
    </row>
    <row r="10" spans="1:18" x14ac:dyDescent="0.25">
      <c r="A10" s="205" t="s">
        <v>58</v>
      </c>
      <c r="B10" s="207"/>
      <c r="C10" s="15"/>
      <c r="D10" s="15">
        <f t="shared" ref="D10:O10" si="1">SUM(D6:D9)</f>
        <v>14.330000000000002</v>
      </c>
      <c r="E10" s="15">
        <f t="shared" si="1"/>
        <v>16.32</v>
      </c>
      <c r="F10" s="16">
        <f t="shared" si="1"/>
        <v>80.38</v>
      </c>
      <c r="G10" s="16">
        <f t="shared" si="1"/>
        <v>525.72</v>
      </c>
      <c r="H10" s="15">
        <f t="shared" si="1"/>
        <v>0.35800000000000004</v>
      </c>
      <c r="I10" s="16">
        <f t="shared" si="1"/>
        <v>2.2000000000000002</v>
      </c>
      <c r="J10" s="15">
        <f t="shared" si="1"/>
        <v>0.15</v>
      </c>
      <c r="K10" s="15">
        <f t="shared" si="1"/>
        <v>7.57</v>
      </c>
      <c r="L10" s="15">
        <f t="shared" si="1"/>
        <v>264.78999999999996</v>
      </c>
      <c r="M10" s="15">
        <f t="shared" si="1"/>
        <v>351.8</v>
      </c>
      <c r="N10" s="15">
        <f t="shared" si="1"/>
        <v>91.91</v>
      </c>
      <c r="O10" s="16">
        <f t="shared" si="1"/>
        <v>4.28</v>
      </c>
      <c r="P10" s="6"/>
      <c r="Q10" s="4" t="s">
        <v>20</v>
      </c>
      <c r="R10" s="2"/>
    </row>
    <row r="11" spans="1:18" x14ac:dyDescent="0.25">
      <c r="A11" s="205" t="s">
        <v>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7"/>
      <c r="P11" s="6"/>
      <c r="Q11" s="4"/>
      <c r="R11" s="2"/>
    </row>
    <row r="12" spans="1:18" x14ac:dyDescent="0.25">
      <c r="A12" s="5" t="s">
        <v>166</v>
      </c>
      <c r="B12" s="8" t="s">
        <v>165</v>
      </c>
      <c r="C12" s="5">
        <v>100</v>
      </c>
      <c r="D12" s="5">
        <f>C12*1.08/100</f>
        <v>1.08</v>
      </c>
      <c r="E12" s="9">
        <f>C12*9.99/100</f>
        <v>9.99</v>
      </c>
      <c r="F12" s="9">
        <f>C12*8.9/100</f>
        <v>8.9</v>
      </c>
      <c r="G12" s="5">
        <f t="shared" ref="G12:G20" si="2">F12*4+E12*9+D12*4</f>
        <v>129.82999999999998</v>
      </c>
      <c r="H12" s="22">
        <v>0.04</v>
      </c>
      <c r="I12" s="23">
        <v>15.9</v>
      </c>
      <c r="J12" s="23">
        <v>0.06</v>
      </c>
      <c r="K12" s="23">
        <v>0.4</v>
      </c>
      <c r="L12" s="23">
        <v>46</v>
      </c>
      <c r="M12" s="23">
        <v>55</v>
      </c>
      <c r="N12" s="23">
        <v>15</v>
      </c>
      <c r="O12" s="23">
        <v>0.8</v>
      </c>
      <c r="P12" s="6"/>
      <c r="Q12" s="4"/>
      <c r="R12" s="2"/>
    </row>
    <row r="13" spans="1:18" x14ac:dyDescent="0.25">
      <c r="A13" s="5" t="s">
        <v>168</v>
      </c>
      <c r="B13" s="8" t="s">
        <v>167</v>
      </c>
      <c r="C13" s="5">
        <v>250</v>
      </c>
      <c r="D13" s="9">
        <v>13.5</v>
      </c>
      <c r="E13" s="9">
        <v>3.6</v>
      </c>
      <c r="F13" s="9">
        <v>12.5</v>
      </c>
      <c r="G13" s="9">
        <f t="shared" si="2"/>
        <v>136.4</v>
      </c>
      <c r="H13" s="23">
        <f>C13*0.04/100</f>
        <v>0.1</v>
      </c>
      <c r="I13" s="23">
        <f>C13*2.7/100</f>
        <v>6.75</v>
      </c>
      <c r="J13" s="23">
        <f>C13*0.02/100</f>
        <v>0.05</v>
      </c>
      <c r="K13" s="22">
        <f>C13*0.3/100</f>
        <v>0.75</v>
      </c>
      <c r="L13" s="23">
        <f>C13*8.8/100</f>
        <v>22</v>
      </c>
      <c r="M13" s="23">
        <f>C13*41.8/100</f>
        <v>104.5</v>
      </c>
      <c r="N13" s="23">
        <f>C13*8.3/100</f>
        <v>20.75</v>
      </c>
      <c r="O13" s="23">
        <f>C13*0.3/100</f>
        <v>0.75</v>
      </c>
      <c r="P13" s="6"/>
      <c r="Q13" s="4"/>
      <c r="R13" s="2"/>
    </row>
    <row r="14" spans="1:18" x14ac:dyDescent="0.25">
      <c r="A14" s="5" t="s">
        <v>299</v>
      </c>
      <c r="B14" s="20" t="s">
        <v>169</v>
      </c>
      <c r="C14" s="5">
        <v>180</v>
      </c>
      <c r="D14" s="9">
        <f>C14*10.5/100</f>
        <v>18.899999999999999</v>
      </c>
      <c r="E14" s="5">
        <f>C14*4.25/100</f>
        <v>7.65</v>
      </c>
      <c r="F14" s="5">
        <f>C14*20.4/100</f>
        <v>36.72</v>
      </c>
      <c r="G14" s="9">
        <f t="shared" si="2"/>
        <v>291.33000000000004</v>
      </c>
      <c r="H14" s="9">
        <f>C14*0.23/100</f>
        <v>0.41399999999999998</v>
      </c>
      <c r="I14" s="10">
        <v>0</v>
      </c>
      <c r="J14" s="10">
        <v>0</v>
      </c>
      <c r="K14" s="9">
        <f>C14*0.5/100</f>
        <v>0.9</v>
      </c>
      <c r="L14" s="9">
        <f>C14*47/100</f>
        <v>84.6</v>
      </c>
      <c r="M14" s="9">
        <f>C14*107/100</f>
        <v>192.6</v>
      </c>
      <c r="N14" s="9">
        <f>C14*42/100</f>
        <v>75.599999999999994</v>
      </c>
      <c r="O14" s="5">
        <f>C14*3.3/100</f>
        <v>5.94</v>
      </c>
      <c r="P14" s="6"/>
      <c r="Q14" s="4"/>
      <c r="R14" s="2"/>
    </row>
    <row r="15" spans="1:18" x14ac:dyDescent="0.25">
      <c r="A15" s="5" t="s">
        <v>279</v>
      </c>
      <c r="B15" s="8" t="s">
        <v>278</v>
      </c>
      <c r="C15" s="5">
        <v>90</v>
      </c>
      <c r="D15" s="9">
        <f>C15*14.12/160</f>
        <v>7.9424999999999999</v>
      </c>
      <c r="E15" s="5">
        <f>C15*9.04/160</f>
        <v>5.0849999999999991</v>
      </c>
      <c r="F15" s="9">
        <f>C15*20.26/160</f>
        <v>11.39625</v>
      </c>
      <c r="G15" s="5">
        <f t="shared" si="2"/>
        <v>123.11999999999999</v>
      </c>
      <c r="H15" s="23">
        <f>C15*0.07/100</f>
        <v>6.3E-2</v>
      </c>
      <c r="I15" s="35">
        <v>0</v>
      </c>
      <c r="J15" s="23">
        <f>C15*0.01/100</f>
        <v>9.0000000000000011E-3</v>
      </c>
      <c r="K15" s="23">
        <f>C15*1.1/100</f>
        <v>0.9900000000000001</v>
      </c>
      <c r="L15" s="23">
        <f>C15*18/100</f>
        <v>16.2</v>
      </c>
      <c r="M15" s="23">
        <f>C15*151/100</f>
        <v>135.9</v>
      </c>
      <c r="N15" s="23">
        <f>C15*28/100</f>
        <v>25.2</v>
      </c>
      <c r="O15" s="23">
        <f>C15*1.6/100</f>
        <v>1.44</v>
      </c>
      <c r="P15" s="6"/>
      <c r="Q15" s="4"/>
      <c r="R15" s="139"/>
    </row>
    <row r="16" spans="1:18" x14ac:dyDescent="0.25">
      <c r="A16" s="5" t="s">
        <v>125</v>
      </c>
      <c r="B16" s="8" t="s">
        <v>68</v>
      </c>
      <c r="C16" s="5">
        <v>30</v>
      </c>
      <c r="D16" s="5">
        <f>C16*1.3/50</f>
        <v>0.78</v>
      </c>
      <c r="E16" s="5">
        <f>C16*4.8/50</f>
        <v>2.88</v>
      </c>
      <c r="F16" s="5">
        <f>C16*4.7/50</f>
        <v>2.82</v>
      </c>
      <c r="G16" s="5">
        <f t="shared" si="2"/>
        <v>40.319999999999993</v>
      </c>
      <c r="H16" s="35">
        <v>0</v>
      </c>
      <c r="I16" s="22">
        <v>0.39</v>
      </c>
      <c r="J16" s="35">
        <v>0</v>
      </c>
      <c r="K16" s="35">
        <v>0</v>
      </c>
      <c r="L16" s="22">
        <v>0.01</v>
      </c>
      <c r="M16" s="35">
        <v>0</v>
      </c>
      <c r="N16" s="35">
        <v>0</v>
      </c>
      <c r="O16" s="23">
        <v>0.1</v>
      </c>
      <c r="P16" s="6"/>
      <c r="Q16" s="4"/>
      <c r="R16" s="2"/>
    </row>
    <row r="17" spans="1:18" x14ac:dyDescent="0.25">
      <c r="A17" s="5"/>
      <c r="B17" s="8" t="s">
        <v>19</v>
      </c>
      <c r="C17" s="5">
        <v>50</v>
      </c>
      <c r="D17" s="5">
        <f>C17*7.7/100</f>
        <v>3.85</v>
      </c>
      <c r="E17" s="9">
        <f>C17*0.8/100</f>
        <v>0.4</v>
      </c>
      <c r="F17" s="5">
        <f>C17*49.5/100</f>
        <v>24.75</v>
      </c>
      <c r="G17" s="9">
        <f t="shared" si="2"/>
        <v>118</v>
      </c>
      <c r="H17" s="5">
        <f>C17*0.11/100</f>
        <v>5.5E-2</v>
      </c>
      <c r="I17" s="10">
        <v>0</v>
      </c>
      <c r="J17" s="10">
        <v>0</v>
      </c>
      <c r="K17" s="5">
        <f>C17*1.1/100</f>
        <v>0.55000000000000004</v>
      </c>
      <c r="L17" s="9">
        <f>C17*20/100</f>
        <v>10</v>
      </c>
      <c r="M17" s="9">
        <f>C17*65/100</f>
        <v>32.5</v>
      </c>
      <c r="N17" s="9">
        <f>C17*49/100</f>
        <v>24.5</v>
      </c>
      <c r="O17" s="5">
        <f>C17*1.1/100</f>
        <v>0.55000000000000004</v>
      </c>
      <c r="P17" s="6"/>
      <c r="Q17" s="4"/>
      <c r="R17" s="2"/>
    </row>
    <row r="18" spans="1:18" x14ac:dyDescent="0.25">
      <c r="A18" s="5"/>
      <c r="B18" s="8" t="s">
        <v>36</v>
      </c>
      <c r="C18" s="5">
        <v>40</v>
      </c>
      <c r="D18" s="5">
        <f>C18*6.6/100</f>
        <v>2.64</v>
      </c>
      <c r="E18" s="5">
        <f>C18*1.1/100</f>
        <v>0.44</v>
      </c>
      <c r="F18" s="5">
        <f>C18*43.9/100</f>
        <v>17.559999999999999</v>
      </c>
      <c r="G18" s="5">
        <f t="shared" si="2"/>
        <v>84.759999999999991</v>
      </c>
      <c r="H18" s="9">
        <f>C18*0.18/100</f>
        <v>7.1999999999999995E-2</v>
      </c>
      <c r="I18" s="10">
        <v>0</v>
      </c>
      <c r="J18" s="10">
        <v>0</v>
      </c>
      <c r="K18" s="5">
        <f>C18*1.4/100</f>
        <v>0.56000000000000005</v>
      </c>
      <c r="L18" s="9">
        <f>C18*35/100</f>
        <v>14</v>
      </c>
      <c r="M18" s="9">
        <f>C18*158/100</f>
        <v>63.2</v>
      </c>
      <c r="N18" s="9">
        <f>C18*47/100</f>
        <v>18.8</v>
      </c>
      <c r="O18" s="5">
        <f>C18*3.9/100</f>
        <v>1.56</v>
      </c>
      <c r="P18" s="6"/>
      <c r="Q18" s="4"/>
      <c r="R18" s="2"/>
    </row>
    <row r="19" spans="1:18" x14ac:dyDescent="0.25">
      <c r="A19" s="5"/>
      <c r="B19" s="8" t="s">
        <v>136</v>
      </c>
      <c r="C19" s="5">
        <v>200</v>
      </c>
      <c r="D19" s="9">
        <v>1</v>
      </c>
      <c r="E19" s="9">
        <v>0.2</v>
      </c>
      <c r="F19" s="9">
        <v>20.2</v>
      </c>
      <c r="G19" s="9">
        <f t="shared" si="2"/>
        <v>86.6</v>
      </c>
      <c r="H19" s="22">
        <v>0.02</v>
      </c>
      <c r="I19" s="10">
        <v>4</v>
      </c>
      <c r="J19" s="10">
        <v>0</v>
      </c>
      <c r="K19" s="9">
        <v>0.2</v>
      </c>
      <c r="L19" s="9">
        <v>14</v>
      </c>
      <c r="M19" s="9">
        <v>14</v>
      </c>
      <c r="N19" s="9">
        <v>8</v>
      </c>
      <c r="O19" s="9">
        <v>2.8</v>
      </c>
      <c r="P19" s="6"/>
      <c r="Q19" s="4"/>
      <c r="R19" s="2"/>
    </row>
    <row r="20" spans="1:18" x14ac:dyDescent="0.25">
      <c r="A20" s="5"/>
      <c r="B20" s="8" t="s">
        <v>100</v>
      </c>
      <c r="C20" s="5">
        <v>100</v>
      </c>
      <c r="D20" s="9">
        <v>0.4</v>
      </c>
      <c r="E20" s="9">
        <v>0.3</v>
      </c>
      <c r="F20" s="9">
        <v>10.3</v>
      </c>
      <c r="G20" s="9">
        <f t="shared" si="2"/>
        <v>45.500000000000007</v>
      </c>
      <c r="H20" s="5">
        <v>0.02</v>
      </c>
      <c r="I20" s="9">
        <v>5</v>
      </c>
      <c r="J20" s="10">
        <v>0</v>
      </c>
      <c r="K20" s="9">
        <v>0.4</v>
      </c>
      <c r="L20" s="9">
        <v>19</v>
      </c>
      <c r="M20" s="9">
        <v>16</v>
      </c>
      <c r="N20" s="9">
        <v>12</v>
      </c>
      <c r="O20" s="9">
        <v>2.2999999999999998</v>
      </c>
      <c r="P20" s="6"/>
      <c r="Q20" s="4"/>
      <c r="R20" s="2"/>
    </row>
    <row r="21" spans="1:18" x14ac:dyDescent="0.25">
      <c r="A21" s="205" t="s">
        <v>59</v>
      </c>
      <c r="B21" s="207"/>
      <c r="C21" s="5"/>
      <c r="D21" s="16">
        <f t="shared" ref="D21:O21" si="3">SUM(D12:D20)</f>
        <v>50.092500000000001</v>
      </c>
      <c r="E21" s="15">
        <f t="shared" si="3"/>
        <v>30.545000000000002</v>
      </c>
      <c r="F21" s="16">
        <f t="shared" si="3"/>
        <v>145.14625000000001</v>
      </c>
      <c r="G21" s="16">
        <f t="shared" si="3"/>
        <v>1055.8600000000001</v>
      </c>
      <c r="H21" s="16">
        <f t="shared" si="3"/>
        <v>0.78400000000000003</v>
      </c>
      <c r="I21" s="16">
        <f t="shared" si="3"/>
        <v>32.04</v>
      </c>
      <c r="J21" s="16">
        <f t="shared" si="3"/>
        <v>0.11899999999999999</v>
      </c>
      <c r="K21" s="16">
        <f t="shared" si="3"/>
        <v>4.7500000000000009</v>
      </c>
      <c r="L21" s="16">
        <f t="shared" si="3"/>
        <v>225.80999999999997</v>
      </c>
      <c r="M21" s="16">
        <f t="shared" si="3"/>
        <v>613.70000000000005</v>
      </c>
      <c r="N21" s="16">
        <f t="shared" si="3"/>
        <v>199.85</v>
      </c>
      <c r="O21" s="16">
        <f t="shared" si="3"/>
        <v>16.240000000000002</v>
      </c>
      <c r="P21" s="6"/>
      <c r="Q21" s="4"/>
      <c r="R21" s="2"/>
    </row>
    <row r="22" spans="1:18" x14ac:dyDescent="0.25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6"/>
      <c r="Q22" s="4"/>
      <c r="R22" s="2"/>
    </row>
    <row r="23" spans="1:18" x14ac:dyDescent="0.25">
      <c r="A23" s="205" t="s">
        <v>57</v>
      </c>
      <c r="B23" s="207"/>
      <c r="C23" s="5"/>
      <c r="D23" s="16">
        <f t="shared" ref="D23:O23" si="4">D10+D21</f>
        <v>64.422499999999999</v>
      </c>
      <c r="E23" s="16">
        <f t="shared" si="4"/>
        <v>46.865000000000002</v>
      </c>
      <c r="F23" s="16">
        <f t="shared" si="4"/>
        <v>225.52625</v>
      </c>
      <c r="G23" s="16">
        <f t="shared" si="4"/>
        <v>1581.5800000000002</v>
      </c>
      <c r="H23" s="16">
        <f t="shared" si="4"/>
        <v>1.1420000000000001</v>
      </c>
      <c r="I23" s="16">
        <f t="shared" si="4"/>
        <v>34.24</v>
      </c>
      <c r="J23" s="16">
        <f t="shared" si="4"/>
        <v>0.26900000000000002</v>
      </c>
      <c r="K23" s="15">
        <f t="shared" si="4"/>
        <v>12.32</v>
      </c>
      <c r="L23" s="16">
        <f t="shared" si="4"/>
        <v>490.59999999999991</v>
      </c>
      <c r="M23" s="16">
        <f t="shared" si="4"/>
        <v>965.5</v>
      </c>
      <c r="N23" s="15">
        <f t="shared" si="4"/>
        <v>291.76</v>
      </c>
      <c r="O23" s="15">
        <f t="shared" si="4"/>
        <v>20.520000000000003</v>
      </c>
      <c r="P23" s="6"/>
      <c r="Q23" s="4"/>
      <c r="R23" s="2"/>
    </row>
    <row r="24" spans="1:18" x14ac:dyDescent="0.25">
      <c r="A24" s="205" t="s">
        <v>39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6"/>
      <c r="Q24" s="4"/>
      <c r="R24" s="2"/>
    </row>
    <row r="25" spans="1:18" x14ac:dyDescent="0.25">
      <c r="A25" s="5" t="s">
        <v>172</v>
      </c>
      <c r="B25" s="8" t="s">
        <v>208</v>
      </c>
      <c r="C25" s="5">
        <v>100</v>
      </c>
      <c r="D25" s="5">
        <v>9.0500000000000007</v>
      </c>
      <c r="E25" s="9">
        <v>8.11</v>
      </c>
      <c r="F25" s="9">
        <v>55.15</v>
      </c>
      <c r="G25" s="9">
        <f>F25*4+E25*9+D25*4</f>
        <v>329.78999999999996</v>
      </c>
      <c r="H25" s="5">
        <v>0.15</v>
      </c>
      <c r="I25" s="10">
        <v>0</v>
      </c>
      <c r="J25" s="5">
        <v>0.02</v>
      </c>
      <c r="K25" s="9">
        <v>2.4</v>
      </c>
      <c r="L25" s="9">
        <v>23</v>
      </c>
      <c r="M25" s="9">
        <v>125</v>
      </c>
      <c r="N25" s="9">
        <v>33</v>
      </c>
      <c r="O25" s="9">
        <v>1.3</v>
      </c>
      <c r="P25" s="6"/>
      <c r="Q25" s="4"/>
      <c r="R25" s="2"/>
    </row>
    <row r="26" spans="1:18" x14ac:dyDescent="0.25">
      <c r="A26" s="5"/>
      <c r="B26" s="8" t="s">
        <v>75</v>
      </c>
      <c r="C26" s="5">
        <v>200</v>
      </c>
      <c r="D26" s="9">
        <v>0.2</v>
      </c>
      <c r="E26" s="10">
        <v>0</v>
      </c>
      <c r="F26" s="9">
        <v>14</v>
      </c>
      <c r="G26" s="9">
        <f>F26*4+E26*9+D26*4</f>
        <v>56.8</v>
      </c>
      <c r="H26" s="10">
        <v>0</v>
      </c>
      <c r="I26" s="10">
        <v>0</v>
      </c>
      <c r="J26" s="10">
        <v>0</v>
      </c>
      <c r="K26" s="10">
        <v>0</v>
      </c>
      <c r="L26" s="9">
        <v>12</v>
      </c>
      <c r="M26" s="9">
        <v>4</v>
      </c>
      <c r="N26" s="9">
        <v>6</v>
      </c>
      <c r="O26" s="9">
        <v>0.4</v>
      </c>
      <c r="P26" s="6"/>
      <c r="Q26" s="4"/>
      <c r="R26" s="2"/>
    </row>
    <row r="27" spans="1:18" x14ac:dyDescent="0.25">
      <c r="A27" s="125"/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6"/>
      <c r="Q27" s="4"/>
      <c r="R27" s="2"/>
    </row>
    <row r="28" spans="1:18" x14ac:dyDescent="0.25">
      <c r="A28" s="127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6"/>
      <c r="Q28" s="4"/>
      <c r="R28" s="2"/>
    </row>
    <row r="29" spans="1:18" x14ac:dyDescent="0.25">
      <c r="A29" s="6"/>
      <c r="B29" s="1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2"/>
    </row>
    <row r="30" spans="1:18" x14ac:dyDescent="0.25">
      <c r="A30" s="6"/>
      <c r="B30" s="1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4"/>
      <c r="R30" s="112"/>
    </row>
    <row r="31" spans="1:18" x14ac:dyDescent="0.25">
      <c r="A31" s="6"/>
      <c r="B31" s="1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4"/>
      <c r="R31" s="112"/>
    </row>
    <row r="32" spans="1:18" x14ac:dyDescent="0.25">
      <c r="A32" s="6"/>
      <c r="B32" s="1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R32" s="112"/>
    </row>
    <row r="33" spans="1:18" x14ac:dyDescent="0.25">
      <c r="A33" s="6"/>
      <c r="B33" s="1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112"/>
    </row>
    <row r="34" spans="1:18" x14ac:dyDescent="0.25">
      <c r="A34" s="6"/>
      <c r="B34" s="1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112"/>
    </row>
    <row r="35" spans="1:18" x14ac:dyDescent="0.25">
      <c r="A35" s="6"/>
      <c r="B35" s="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4"/>
      <c r="R35" s="2"/>
    </row>
    <row r="36" spans="1:18" x14ac:dyDescent="0.25">
      <c r="A36" s="6"/>
      <c r="B36" s="78"/>
      <c r="C36" s="60"/>
      <c r="D36" s="60"/>
      <c r="E36" s="60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4"/>
      <c r="R36" s="2"/>
    </row>
    <row r="37" spans="1:18" x14ac:dyDescent="0.25">
      <c r="A37" s="6"/>
      <c r="B37" s="150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4"/>
      <c r="R37" s="2"/>
    </row>
    <row r="38" spans="1:18" x14ac:dyDescent="0.25">
      <c r="A38" s="6"/>
      <c r="B38" s="150"/>
      <c r="C38" s="6"/>
      <c r="D38" s="6"/>
      <c r="E38" s="6"/>
      <c r="F38" s="6" t="s">
        <v>20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4"/>
      <c r="R38" s="2"/>
    </row>
    <row r="39" spans="1:18" x14ac:dyDescent="0.25">
      <c r="A39" s="6"/>
      <c r="B39" s="15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4"/>
      <c r="R39" s="2"/>
    </row>
    <row r="40" spans="1:18" x14ac:dyDescent="0.25">
      <c r="A40" s="6"/>
      <c r="B40" s="15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4"/>
      <c r="R40" s="2"/>
    </row>
    <row r="41" spans="1:18" x14ac:dyDescent="0.25">
      <c r="A41" s="6"/>
      <c r="B41" s="15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4"/>
      <c r="R41" s="2"/>
    </row>
    <row r="42" spans="1:18" x14ac:dyDescent="0.25">
      <c r="A42" s="6"/>
      <c r="B42" s="15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4"/>
      <c r="R42" s="2"/>
    </row>
    <row r="43" spans="1:18" x14ac:dyDescent="0.25">
      <c r="A43" s="6"/>
      <c r="B43" s="15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2"/>
    </row>
    <row r="44" spans="1:18" x14ac:dyDescent="0.25">
      <c r="A44" s="6"/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2"/>
    </row>
    <row r="45" spans="1:18" x14ac:dyDescent="0.25">
      <c r="A45" s="6"/>
      <c r="B45" s="15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4"/>
      <c r="R45" s="2"/>
    </row>
    <row r="46" spans="1:18" x14ac:dyDescent="0.25">
      <c r="A46" s="6"/>
      <c r="B46" s="15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4"/>
      <c r="R46" s="2"/>
    </row>
    <row r="47" spans="1:18" x14ac:dyDescent="0.25">
      <c r="A47" s="6"/>
      <c r="B47" s="15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4"/>
      <c r="R47" s="2"/>
    </row>
    <row r="48" spans="1:18" x14ac:dyDescent="0.25">
      <c r="A48" s="6"/>
      <c r="B48" s="150"/>
      <c r="C48" s="149"/>
      <c r="D48" s="149"/>
      <c r="E48" s="14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4"/>
      <c r="R48" s="2"/>
    </row>
    <row r="49" spans="1:18" x14ac:dyDescent="0.25">
      <c r="A49" s="149"/>
      <c r="B49" s="150"/>
      <c r="C49" s="150"/>
      <c r="D49" s="150"/>
      <c r="E49" s="150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2"/>
      <c r="R49" s="2"/>
    </row>
    <row r="50" spans="1:18" x14ac:dyDescent="0.25">
      <c r="A50" s="150"/>
      <c r="B50" s="150"/>
      <c r="C50" s="150"/>
      <c r="D50" s="150"/>
      <c r="E50" s="150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8" x14ac:dyDescent="0.25">
      <c r="A51" s="150"/>
      <c r="B51" s="150"/>
      <c r="C51" s="150"/>
      <c r="D51" s="150"/>
      <c r="E51" s="150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8" x14ac:dyDescent="0.25">
      <c r="A52" s="150"/>
      <c r="B52" s="150"/>
      <c r="C52" s="150"/>
      <c r="D52" s="150"/>
      <c r="E52" s="150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8" x14ac:dyDescent="0.25">
      <c r="A53" s="150"/>
      <c r="B53" s="150"/>
      <c r="C53" s="150"/>
      <c r="D53" s="150"/>
      <c r="E53" s="150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8" x14ac:dyDescent="0.25">
      <c r="A54" s="150"/>
      <c r="B54" s="150"/>
      <c r="C54" s="150"/>
      <c r="D54" s="150"/>
      <c r="E54" s="150"/>
    </row>
    <row r="55" spans="1:18" x14ac:dyDescent="0.25">
      <c r="A55" s="150"/>
      <c r="B55" s="150"/>
      <c r="C55" s="150"/>
      <c r="D55" s="150"/>
      <c r="E55" s="150"/>
    </row>
    <row r="56" spans="1:18" x14ac:dyDescent="0.25">
      <c r="A56" s="150"/>
      <c r="B56" s="150"/>
      <c r="C56" s="150"/>
      <c r="D56" s="150"/>
      <c r="E56" s="150"/>
    </row>
    <row r="57" spans="1:18" x14ac:dyDescent="0.25">
      <c r="A57" s="150"/>
      <c r="B57" s="150"/>
      <c r="C57" s="150"/>
      <c r="D57" s="150"/>
      <c r="E57" s="150"/>
    </row>
    <row r="58" spans="1:18" x14ac:dyDescent="0.25">
      <c r="A58" s="150"/>
      <c r="B58" s="150"/>
      <c r="C58" s="150"/>
      <c r="D58" s="150"/>
      <c r="E58" s="150"/>
    </row>
    <row r="59" spans="1:18" x14ac:dyDescent="0.25">
      <c r="A59" s="150"/>
      <c r="B59" s="150"/>
      <c r="C59" s="150"/>
      <c r="D59" s="150"/>
      <c r="E59" s="150"/>
    </row>
    <row r="60" spans="1:18" x14ac:dyDescent="0.25">
      <c r="A60" s="150"/>
      <c r="B60" s="150"/>
      <c r="C60" s="150"/>
      <c r="D60" s="150"/>
      <c r="E60" s="150"/>
    </row>
  </sheetData>
  <mergeCells count="17">
    <mergeCell ref="A24:O24"/>
    <mergeCell ref="L3:O3"/>
    <mergeCell ref="A10:B10"/>
    <mergeCell ref="A11:O11"/>
    <mergeCell ref="A21:B21"/>
    <mergeCell ref="A22:O22"/>
    <mergeCell ref="A23:B23"/>
    <mergeCell ref="A3:A4"/>
    <mergeCell ref="B3:B4"/>
    <mergeCell ref="C3:C4"/>
    <mergeCell ref="D3:F3"/>
    <mergeCell ref="G3:G4"/>
    <mergeCell ref="H3:K3"/>
    <mergeCell ref="C1:F1"/>
    <mergeCell ref="J1:O1"/>
    <mergeCell ref="C2:G2"/>
    <mergeCell ref="J2:O2"/>
  </mergeCells>
  <pageMargins left="0.7" right="0.7" top="0.58333333333333337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Гиперссылка </vt:lpstr>
      <vt:lpstr>Нормы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2020-09-02T11:48:47Z</dcterms:modified>
</cp:coreProperties>
</file>